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JR22_DE" sheetId="1" r:id="rId1"/>
  </sheets>
  <definedNames/>
  <calcPr fullCalcOnLoad="1"/>
</workbook>
</file>

<file path=xl/comments1.xml><?xml version="1.0" encoding="utf-8"?>
<comments xmlns="http://schemas.openxmlformats.org/spreadsheetml/2006/main">
  <authors>
    <author>Gaby Bucher</author>
  </authors>
  <commentList>
    <comment ref="A31" authorId="0">
      <text>
        <r>
          <rPr>
            <b/>
            <sz val="9"/>
            <rFont val="Segoe UI"/>
            <family val="2"/>
          </rPr>
          <t>Gaby Bucher:</t>
        </r>
        <r>
          <rPr>
            <sz val="9"/>
            <rFont val="Segoe UI"/>
            <family val="2"/>
          </rPr>
          <t xml:space="preserve">
2099 ohne 2016 + 2199</t>
        </r>
      </text>
    </comment>
    <comment ref="A37" authorId="0">
      <text>
        <r>
          <rPr>
            <b/>
            <sz val="9"/>
            <rFont val="Segoe UI"/>
            <family val="2"/>
          </rPr>
          <t>Gaby Bucher:</t>
        </r>
        <r>
          <rPr>
            <sz val="9"/>
            <rFont val="Segoe UI"/>
            <family val="2"/>
          </rPr>
          <t xml:space="preserve">
2820+2825+2850 ohne 2830 Strukturentwicklungsfond
</t>
        </r>
      </text>
    </comment>
    <comment ref="A254" authorId="0">
      <text>
        <r>
          <rPr>
            <b/>
            <sz val="9"/>
            <rFont val="Segoe UI"/>
            <family val="2"/>
          </rPr>
          <t>Gaby Bucher:</t>
        </r>
        <r>
          <rPr>
            <sz val="9"/>
            <rFont val="Segoe UI"/>
            <family val="2"/>
          </rPr>
          <t xml:space="preserve">
1199 + Reka 1040 + Darlehen 1430 + Valais 2016</t>
        </r>
      </text>
    </comment>
    <comment ref="A376" authorId="0">
      <text>
        <r>
          <rPr>
            <b/>
            <sz val="9"/>
            <rFont val="Segoe UI"/>
            <family val="2"/>
          </rPr>
          <t>Gaby Bucher:</t>
        </r>
        <r>
          <rPr>
            <sz val="9"/>
            <rFont val="Segoe UI"/>
            <family val="2"/>
          </rPr>
          <t xml:space="preserve">
Kto 4450
</t>
        </r>
      </text>
    </comment>
  </commentList>
</comments>
</file>

<file path=xl/sharedStrings.xml><?xml version="1.0" encoding="utf-8"?>
<sst xmlns="http://schemas.openxmlformats.org/spreadsheetml/2006/main" count="471" uniqueCount="294">
  <si>
    <t>Anmerkungen zu einzelnen Positionen der Betriebsrechnung</t>
  </si>
  <si>
    <t>Verteilt auf die Ressorts ergibt sich folgendes Bild:</t>
  </si>
  <si>
    <t>Verbandsführung, Administration und Sozialpolitik</t>
  </si>
  <si>
    <t>Rechtsdienst</t>
  </si>
  <si>
    <t>Reisen und Sport</t>
  </si>
  <si>
    <t>Bauen/Wohnungsvermittlung</t>
  </si>
  <si>
    <t>Beratungsstellen</t>
  </si>
  <si>
    <t>Total Personalaufwand</t>
  </si>
  <si>
    <t>Total Beiträge an andere Organisationen</t>
  </si>
  <si>
    <t>Abschreibungen auf Mobilien</t>
  </si>
  <si>
    <t>Total Abschreibungen auf Sachanlagen</t>
  </si>
  <si>
    <t>Erträge aus Wertschriften und Finanzanlagen</t>
  </si>
  <si>
    <t>Zinsen, Dividenden, Kursgewinne</t>
  </si>
  <si>
    <t>Bank- und Postspesen, Kursverluste</t>
  </si>
  <si>
    <t>Erläuterungen zu Positionen der Geldflussrechnung</t>
  </si>
  <si>
    <t>Die Geldflussrechnung zeigt die Veränderung der flüssigen Mittel, aufgeteilt auf die Faktoren Betriebstätigkeit, Investitionstätigkeit und Finanzierungstätigkeit.</t>
  </si>
  <si>
    <t>Die aufgeführten Fonds werden gemäss den Fondsbezeichnungen verwendet.</t>
  </si>
  <si>
    <t xml:space="preserve">Erträge </t>
  </si>
  <si>
    <t>Zuweisung</t>
  </si>
  <si>
    <t>Marketing, Aktionen, Öffentlichkeitsarbeit</t>
  </si>
  <si>
    <t>Kurse</t>
  </si>
  <si>
    <t>Einkauf Produkte Reisebüro</t>
  </si>
  <si>
    <t>Beiträge an andere Organisationen</t>
  </si>
  <si>
    <t>Sonstiger Aufwand, Spesen</t>
  </si>
  <si>
    <t>13)</t>
  </si>
  <si>
    <t>14)</t>
  </si>
  <si>
    <t>15)</t>
  </si>
  <si>
    <t>16)</t>
  </si>
  <si>
    <t>17)</t>
  </si>
  <si>
    <t>Liegenschaftsergebnis</t>
  </si>
  <si>
    <t>18)</t>
  </si>
  <si>
    <t>19)</t>
  </si>
  <si>
    <t>Abschreibungen mobile Sachanlagen</t>
  </si>
  <si>
    <t>Abschreibungen immobile Sachanlagen</t>
  </si>
  <si>
    <t>Erwerb von Sachanlagen</t>
  </si>
  <si>
    <t>Benevol</t>
  </si>
  <si>
    <t>Übrige Organisationen</t>
  </si>
  <si>
    <t>Raumkosten, Energie, Entsorgung</t>
  </si>
  <si>
    <t>Zuweisungen</t>
  </si>
  <si>
    <t>Abschreibungen auf Informatik</t>
  </si>
  <si>
    <t>Abschreibungen auf Sachanlagen</t>
  </si>
  <si>
    <t>Sammlungen / Spenden / Legate brutto</t>
  </si>
  <si>
    <t>Sammlungen / Spenden Aufwand</t>
  </si>
  <si>
    <t>Organkosten / Spesen</t>
  </si>
  <si>
    <t>Total Finanzergebnis auf Sachanlagen</t>
  </si>
  <si>
    <t>Die Rechnung über die Veränderung des Kapitals zeigt die Entwicklung jeder einzelnen Komponente des Kapitals.</t>
  </si>
  <si>
    <t>Finanzen</t>
  </si>
  <si>
    <t>Bilanz</t>
  </si>
  <si>
    <t>Aktiven</t>
  </si>
  <si>
    <t>Anmerkung</t>
  </si>
  <si>
    <t>Anfangsbestand</t>
  </si>
  <si>
    <t>Endbestand</t>
  </si>
  <si>
    <t>Umlaufvermögen</t>
  </si>
  <si>
    <t>Flüssige Mittel</t>
  </si>
  <si>
    <t>Forderungen</t>
  </si>
  <si>
    <t>Vorräte</t>
  </si>
  <si>
    <t>Aktive Rechnungsabgrenzung</t>
  </si>
  <si>
    <t>1)</t>
  </si>
  <si>
    <t>2)</t>
  </si>
  <si>
    <t>Anlagevermögen</t>
  </si>
  <si>
    <t>Sachanlagen</t>
  </si>
  <si>
    <t>Finanzanlagen</t>
  </si>
  <si>
    <t>3)</t>
  </si>
  <si>
    <t>4)</t>
  </si>
  <si>
    <t>5)</t>
  </si>
  <si>
    <t>Total Aktiven</t>
  </si>
  <si>
    <t>Passiven</t>
  </si>
  <si>
    <t>Fremdkapital</t>
  </si>
  <si>
    <t>Kurzfristiges Fremdkapital</t>
  </si>
  <si>
    <t>Passive Rechnungsabgrenzung</t>
  </si>
  <si>
    <t>Fondskapital</t>
  </si>
  <si>
    <t>Zweckbindung</t>
  </si>
  <si>
    <t>6)</t>
  </si>
  <si>
    <t>Organisationskapital</t>
  </si>
  <si>
    <t>7)</t>
  </si>
  <si>
    <t>Freies Kapital</t>
  </si>
  <si>
    <t>8)</t>
  </si>
  <si>
    <t>Total Passiven</t>
  </si>
  <si>
    <t>Betriebsrechnung</t>
  </si>
  <si>
    <t>Ertrag</t>
  </si>
  <si>
    <t>Sammlungsanteil der Sektionen</t>
  </si>
  <si>
    <t>Sammelergebnis netto</t>
  </si>
  <si>
    <t>9)</t>
  </si>
  <si>
    <t>Mitgliederbeiträge</t>
  </si>
  <si>
    <t>Kostenbeiträge öffentliche Hand</t>
  </si>
  <si>
    <t>Einnahmen aus Dienstleistungen</t>
  </si>
  <si>
    <t>10)</t>
  </si>
  <si>
    <t>Betriebsertrag</t>
  </si>
  <si>
    <t>Total Ertrag</t>
  </si>
  <si>
    <t>Betriebsaufwand</t>
  </si>
  <si>
    <t>Personalaufwand</t>
  </si>
  <si>
    <t>11)</t>
  </si>
  <si>
    <t>Unterhalt Mobilien, Einrichtungen, Fahrzeuge</t>
  </si>
  <si>
    <t>Sachversicherungen, Abgaben, Gebühren</t>
  </si>
  <si>
    <t>Verwaltungs- und Informatikaufwand</t>
  </si>
  <si>
    <t>12)</t>
  </si>
  <si>
    <t>Total Betriebsaufwand</t>
  </si>
  <si>
    <t>Betriebsergebnis</t>
  </si>
  <si>
    <t>Finanzergebnis</t>
  </si>
  <si>
    <t>Jahresergebnis ohne Fondsergebnis</t>
  </si>
  <si>
    <t>Zweckgebundene Fonds</t>
  </si>
  <si>
    <t>Geldflussrechnung</t>
  </si>
  <si>
    <t>Geldfluss aus Betriebstätigkeit</t>
  </si>
  <si>
    <t>Geldfluss aus Investitionstätigkeit</t>
  </si>
  <si>
    <t>Anfangsbestand an flüssigen Mitteln</t>
  </si>
  <si>
    <t>Endbestand an flüssigen Mitteln</t>
  </si>
  <si>
    <t>Veränderung an Zahlungsmitteln</t>
  </si>
  <si>
    <t>Verwendung</t>
  </si>
  <si>
    <t>CHF</t>
  </si>
  <si>
    <t>Sportfonds</t>
  </si>
  <si>
    <t>Fonds mit einschränkender Zweckbindung</t>
  </si>
  <si>
    <t>20)</t>
  </si>
  <si>
    <t>Fonds Strukturentwicklung</t>
  </si>
  <si>
    <t>Herzlichen Dank!</t>
  </si>
  <si>
    <t>Anhang</t>
  </si>
  <si>
    <t>Allgemeine Grundlagen der Rechnungslegung</t>
  </si>
  <si>
    <t>Konsolidierung</t>
  </si>
  <si>
    <t>Bilanzierungs- und Bewertungsgrundsätze</t>
  </si>
  <si>
    <t>Diese Position umfasst Kassen-, Post- und Bankkonten.</t>
  </si>
  <si>
    <t>Die Position umfasst die Aktivposten, die aus der sachlichen und zeitlichen Abgrenzung der einzelnen Aufwand- und Ertragspositionen resultieren. Die Bewertung erfolgt zum Nominalwert.</t>
  </si>
  <si>
    <t>Kurzfristige Verbindlichkeiten</t>
  </si>
  <si>
    <t>Diese Position umfasst die am Bilanzstichtag bereits zugesprochenen, aber noch nicht ausgeglichenen Verbindlichkeiten. Die Bewertung erfolgt zum Nominalwert.</t>
  </si>
  <si>
    <t>Die Position umfasst die Passivpositionen, die aus der sachlichen und zeitlichen Abgrenzung der einzelnen Aufwand- und Ertragspositionen resultieren. Die Bewertung erfolgt zum Nominalwert.</t>
  </si>
  <si>
    <t>Grundsätze der Geldflussrechnung</t>
  </si>
  <si>
    <t>1) Flüssige Mittel</t>
  </si>
  <si>
    <t>Kassen</t>
  </si>
  <si>
    <t>Post</t>
  </si>
  <si>
    <t>Banken</t>
  </si>
  <si>
    <t>Total Flüssige Mittel</t>
  </si>
  <si>
    <t>2) Forderungen</t>
  </si>
  <si>
    <t>Total Forderungen</t>
  </si>
  <si>
    <t>Informatik</t>
  </si>
  <si>
    <t>Mobilien</t>
  </si>
  <si>
    <t>Immobilien</t>
  </si>
  <si>
    <t>Total</t>
  </si>
  <si>
    <t>Beteiligungen</t>
  </si>
  <si>
    <t>Total Finanzanlagen</t>
  </si>
  <si>
    <t>Total Fonds mit einschränkender</t>
  </si>
  <si>
    <t>Fonds Bauen Bern</t>
  </si>
  <si>
    <t>Schweiz. Gemeinnützige Gesellschaft</t>
  </si>
  <si>
    <t>Nahestehende Organisationen / Personen / Institutionen</t>
  </si>
  <si>
    <t xml:space="preserve">Jahresergebnis vor Entnahmen / Zuweisungen </t>
  </si>
  <si>
    <t>Abnahme zweckgebundene Anlagen</t>
  </si>
  <si>
    <t>Anmerkungen zu einzelnen Positionen der Bilanz und Erfolgsrechnung</t>
  </si>
  <si>
    <t>Verein LEA</t>
  </si>
  <si>
    <t>Forderungen gegenüber Dritten</t>
  </si>
  <si>
    <t>Diese Position umfasst Artikel, welche Procap Schweiz zentral einkauft und in der Regel den Sektionen weiterverkauft.</t>
  </si>
  <si>
    <r>
      <t>Solidarität.</t>
    </r>
    <r>
      <rPr>
        <sz val="11"/>
        <color indexed="8"/>
        <rFont val="Arial"/>
        <family val="2"/>
      </rPr>
      <t xml:space="preserve"> Procap Schweiz bekennt sich zu einer solidarischen Gesellschaft von Menschen mit und ohne Behinderung. Aus diesem Grund treten immer mehr Menschen ohne Behinderung unserem Verband als Solidarmitglied bei und ermöglichen dadurch, dass wir uns noch mehr für behinderte Menschen und ihre Anliegen einsetzen können.</t>
    </r>
  </si>
  <si>
    <t>Total kurzfristige Verbindlichkeiten</t>
  </si>
  <si>
    <t>Verbindlichkeiten gegenüber Dritten</t>
  </si>
  <si>
    <t>21)</t>
  </si>
  <si>
    <t>22)</t>
  </si>
  <si>
    <t>Für die Jahresrechnung gilt grundsätzlich das Anschaffungs- bzw. Herstellungskostenprinzip. Dieses richtet sich nach dem Grundsatz der Einzelbewertung von Aktiven und Passiven. Die Buchhaltung wird in Schweizer Franken geführt. Die wichtigsten Bilanzierungsgrundsätze sind nachfolgend dargestellt:</t>
  </si>
  <si>
    <t>Diese Position umfasst die im Rahmen des statutarischen Zwecks von Procap Schweiz einsetzbaren Mittel.</t>
  </si>
  <si>
    <t>Kumulierte Wertberichtigungen</t>
  </si>
  <si>
    <t>3) Aktive Rechnungsabgrenzung</t>
  </si>
  <si>
    <t>4) Sachanlagen</t>
  </si>
  <si>
    <t>5) Finanzanlagen</t>
  </si>
  <si>
    <t>Die Rechnungslegung von Procap Schweiz erfolgt in Übereinstimmung mit Swiss GAAP FER (Kern-FER und FER-21), den Vorschriften der ZEWO sowie den Bestimmungen der Statuten und vermittelt ein den tatsächlichen Verhältnissen entsprechendes Bild der Vermögens-, Finanz- und Ertragslage (true and fair view).</t>
  </si>
  <si>
    <t>Fonds Fachstelle Bauen Bern</t>
  </si>
  <si>
    <t>Bildung und Sensibilisierung</t>
  </si>
  <si>
    <t xml:space="preserve">Sektionsdienste </t>
  </si>
  <si>
    <t>Gebundenes Kapital</t>
  </si>
  <si>
    <t xml:space="preserve">Interne </t>
  </si>
  <si>
    <t>Transfers</t>
  </si>
  <si>
    <t>Veränderung</t>
  </si>
  <si>
    <t>Veränderung Fondskapital</t>
  </si>
  <si>
    <t>Veränderung des Fondskapitals</t>
  </si>
  <si>
    <t>(Fonds mit einschränkender Zweckbindung)</t>
  </si>
  <si>
    <t>Total Fondskapital</t>
  </si>
  <si>
    <t>Total Organisationskapital</t>
  </si>
  <si>
    <t>Weitere Anhangsangaben</t>
  </si>
  <si>
    <t>Anteilscheine</t>
  </si>
  <si>
    <t>Mittelbeschaffung</t>
  </si>
  <si>
    <t>Marketing/Öffentlichkeitsarbeit</t>
  </si>
  <si>
    <t>Jugendgruppen Procap</t>
  </si>
  <si>
    <t>Travel Trade Service,  Reisbüroverband</t>
  </si>
  <si>
    <t>Schweizer Reiseverband</t>
  </si>
  <si>
    <t>Nicht bilanzierter Sachverhalt</t>
  </si>
  <si>
    <t>Zuwendung in Form von Freiwilligenarbeit</t>
  </si>
  <si>
    <t>Nicht bilanzierte Verbindlichkeiten</t>
  </si>
  <si>
    <t>Leasing Fahrzeug</t>
  </si>
  <si>
    <t>Miete Fotokopierer</t>
  </si>
  <si>
    <t>Bei den Anteilscheinen handelt es sich um Aktienzertifikate des Reisebüroverbandes Travel Trade Service TTS, welchem Procap Schweiz im 2016 beigetreten ist.</t>
  </si>
  <si>
    <t>Procap Schweiz ist seit Jahren Mitglied der ZEWO, der Schweizerischen Fachstelle  für gemeinnützige, spendensammelnde Organisationen. Das Gütesiegel garantiert den gewissenhaften und effizienten Einsatz der Spenden. Procap Schweiz ist ebenfalls seit Jahren ISO-zertifiziert (Qualitäts- und Managementsystem).</t>
  </si>
  <si>
    <t>Miete Büros und Archiv</t>
  </si>
  <si>
    <t>Jahresergebnis vor Entnahme und Zuweisung</t>
  </si>
  <si>
    <t>Verbindlichkeiten gegenüber Sektionen/Sportgruppen</t>
  </si>
  <si>
    <t>Bundesamt für Sozialversicherung</t>
  </si>
  <si>
    <t>Kantone</t>
  </si>
  <si>
    <t xml:space="preserve">Total Kostenbeiträge </t>
  </si>
  <si>
    <t>Eidg. Büro für Gleichstellung von Menschen mit Behinderung</t>
  </si>
  <si>
    <t>Verein Barrierefreie Schweiz</t>
  </si>
  <si>
    <t>Kennzahlen gemäss ZEWO-Richtlinien</t>
  </si>
  <si>
    <t>Projekt und Dienstleistungsaufwand</t>
  </si>
  <si>
    <t xml:space="preserve">Mittelbeschaffung </t>
  </si>
  <si>
    <t>Administrativer Aufwand</t>
  </si>
  <si>
    <t>Administrativer Aufwand Verband</t>
  </si>
  <si>
    <r>
      <t>P</t>
    </r>
    <r>
      <rPr>
        <sz val="11"/>
        <rFont val="Arial"/>
        <family val="2"/>
      </rPr>
      <t xml:space="preserve">rocap Schweiz weist den administrativen Aufwand für den Verband separat aus, da dieser nicht im direkten Zusammenhang mit den Tätigkeiten von Procap Schweiz bei den Projekten, Dienstleistungen und der Mittelbeschaffung steht. </t>
    </r>
  </si>
  <si>
    <t>Total Aufwand</t>
  </si>
  <si>
    <t>Die Position umfasst eine Beteiligung und einen Anteilschein. Die Bewertung erfolgt zum Nominalwert.</t>
  </si>
  <si>
    <t>Der IV-Beitrag für Leistungen nach Art. 74 IVG ist zweckgebunden. Zum Zeitpunkt des Jahresabschlusses war noch nicht ersichtlich ob und in welchem Umfang Mittel in einen Fonds Art. 74 IVG eingelegt werden müssen.</t>
  </si>
  <si>
    <t>Liegenschaftsaufwand</t>
  </si>
  <si>
    <t>Liegenschaftsertrag</t>
  </si>
  <si>
    <t>Total Liegenschaftsergebnis</t>
  </si>
  <si>
    <t xml:space="preserve">In dieser Position sind neben Ausgaben gemäss Zentralvorstandsbeschlüssen auch Beiträge für Sektionen und Sportgruppen enthalten.  </t>
  </si>
  <si>
    <t>Forderungen gegenüber Sektionen</t>
  </si>
  <si>
    <t>Entnahme / Entnahme aus Strukturfonds</t>
  </si>
  <si>
    <t>Fonds Tourismus inklusiv</t>
  </si>
  <si>
    <t>Beiträge Bund Covid-19 Stabilisierungspaket Sport</t>
  </si>
  <si>
    <t>MIS Integration Zunahme Eigenkapital und Fonds Tourismus inklusiv</t>
  </si>
  <si>
    <t>31.12.2021 in CHF</t>
  </si>
  <si>
    <t>2021 in CHF</t>
  </si>
  <si>
    <t>Anschaffungswerte 2021</t>
  </si>
  <si>
    <t>Stand am 01.01.2021</t>
  </si>
  <si>
    <t>Investitionen 2021</t>
  </si>
  <si>
    <t>Stand am 31.12.2021</t>
  </si>
  <si>
    <t>Bestand am 01.01.2021</t>
  </si>
  <si>
    <t>Abschreibungen 2021</t>
  </si>
  <si>
    <t>Bestand am 31.12.2021</t>
  </si>
  <si>
    <t>Nettobuchwerte am 01.01.2021</t>
  </si>
  <si>
    <t>Nettobuchwerte am 31.12.2021</t>
  </si>
  <si>
    <t>Alliance Enfance</t>
  </si>
  <si>
    <t>6) Kurzfristige Verbindlichkeiten</t>
  </si>
  <si>
    <t>8) Fondskapital</t>
  </si>
  <si>
    <t>9) Organisationskapital</t>
  </si>
  <si>
    <t>10) Sammelergebnis netto</t>
  </si>
  <si>
    <t>11) Kostenbeiträge öffentliche Hand</t>
  </si>
  <si>
    <t>12) Einnahmen aus Dienstleistungen</t>
  </si>
  <si>
    <t>13) Personalaufwand</t>
  </si>
  <si>
    <t>Anpassung Anschaffungswerte</t>
  </si>
  <si>
    <t>Anpassung Abschreibungswerte</t>
  </si>
  <si>
    <t>15) Organkosten / Spesen</t>
  </si>
  <si>
    <t>14) Sachversicherungen, Abgaben und Gebühren</t>
  </si>
  <si>
    <t>Inclusion Handicap</t>
  </si>
  <si>
    <t xml:space="preserve">Die Position umfasst Informatikanschaffungen und Mobilien, die Procap Schweiz zur Leistungserbringung selber benötigt. Ferner beinhaltet diese Position Immobilien, die uneingeschränkt im Eigentum von Procap Schweiz stehen und zum grössten Teil selbst genutzt werden. Die Bewertung der Mobilien und der Informatik erfolgt zum Anschaffungswert abzüglich der planmässig vorgenommenen Abschreibungen, wobei bei den Mobilien von einer 10-jährigen und bei der Informatik von einer 3-jährigen Nutzungsdauer ausgegangen wird. Anschaffungen unter CHF 1’000.– werden nicht aktiviert. Die Bewertung der Immobilien erfolgt zum Anschaffungswert abzüglich der vorgenommenen Abschreibungen bei einer angenommenen 30-jährigen Nutzungsdauer. </t>
  </si>
  <si>
    <t xml:space="preserve">Bei der Beteiligung handelt es sich um eine 50 %-Beteiligung von CHF 25‘000.– an der Help-Tex GmbH. Die Help-Tex GmbH organisiert Kleider- und Schuhsammlungen zugunsten von Procap Schweiz und des Schweizerischen Blindenbundes. </t>
  </si>
  <si>
    <t>Flüssige Mittel stellen die Liquiditätsreserve der sozialen Non-Profit-Organisation dar und bilden daher die entscheidende Grösse für die Leistungs- und Handlungsfähigkeit von Procap Schweiz. Die Geldflussrechnung zeigt die Veränderung der flüssigen Mittel, aufgeteilt auf die Faktoren Betriebstätigkeit, Investitionstätigkeit und Finanzierungstätigkeit. Die Geldflussrechnung wird nach der indirekten Methode erstellt.</t>
  </si>
  <si>
    <t>Erwerb/Investition von/in  Immobilien</t>
  </si>
  <si>
    <t>31.12.2022 in CHF</t>
  </si>
  <si>
    <t>Rechnung über die Veränderung des Kapitals 2022</t>
  </si>
  <si>
    <t>Grundsätze zur Rechnung über die Veränderung des Kapitals 2021 / 2022</t>
  </si>
  <si>
    <t>zur Jahresrechnung 2022</t>
  </si>
  <si>
    <t>Anschaffungswerte 2022</t>
  </si>
  <si>
    <t>Investitionen 2022</t>
  </si>
  <si>
    <t>Stand am 31.12.2022</t>
  </si>
  <si>
    <t>Bestand am 01.01.2022</t>
  </si>
  <si>
    <t>Abschreibungen 2022</t>
  </si>
  <si>
    <t>Bestand am 31.12.2022</t>
  </si>
  <si>
    <t>Nettobuchwerte am 01.01.2022</t>
  </si>
  <si>
    <t>Nettobuchwerte am 31.12.2022</t>
  </si>
  <si>
    <t>Stand am 01.01.2022</t>
  </si>
  <si>
    <t>2022 in CHF</t>
  </si>
  <si>
    <t xml:space="preserve"> </t>
  </si>
  <si>
    <t>Zunahme / Abnahme an Zahlungsmitteln</t>
  </si>
  <si>
    <t>Das Ergebnis setzt sich zusammen aus Fremd- und Eigenmietertrag, den direkt die Liegenschaften betreffenden Kosten sowie Abschreibungen in der Höhe von CHF 145'273.00 (Vorjahr CHF 144'802.55)</t>
  </si>
  <si>
    <t>Die Details zu den Fondsveränderungen sind aus der Rechnung über die Veränderung des Kapitals 2021 / 2022 ersichtlich.</t>
  </si>
  <si>
    <t xml:space="preserve">Diese Position umfasst Forderungen aus erbrachten Leistungen, WIR-Guthaben sowie Mieterkautionen. Die Bewertung erfolgt zum Nominalwert. </t>
  </si>
  <si>
    <t>Procap Schweiz und der Schweizerische Blindenbund sind zu je 50 % an der Help-Tex GmbH beteiligt. Aus dieser Beteiligung resultieren Einnahmen von CHF 49'100.00. Im Weitern beteiligt sich Procap Schweiz mit einem jährlichen Beitrag an Inclusion Handicap und anderen Organisationen.</t>
  </si>
  <si>
    <t xml:space="preserve">Unter dieser Position sind unter anderem die Kosten für die Delegiertenversammlung und die Präsidentenkonferenz, Spesen für den Zentralvorstand und den Zentralvorstandsausschuss sowie die Kosten für die Revisionsstelle enthalten. Die Mitglieder des Zentralvorstandes haben im Jahr 2022 Total CHF 32'656.70  (Vorjahr CHF 31'171.20) an Entschädigungen, Spesen und Honorare erhalten. Der Präsident hat davon total CHF 13'671.70 (Vorjahr CHF 11'233.40) vergütet bekommen; aufgeteilt in Honorare in der Höhe von CHF 7'825.00 (Vorjahr CHF 5'825.00), Pauschalentschädigungen von CHF 5'000.00 (Vorjahr CHF 5'000.00 und Spesenentschädigungen CHF 846.70  (Vorjahr CHF 408.40). </t>
  </si>
  <si>
    <t xml:space="preserve">Über 100'000 Gönnerinnen und Gönner unterstützen Procap Schweiz regelmässig mit einer Spende. Verschiedene Personen haben Procap Schweiz auch 2022 mit einem Legat bedacht. Und schliesslich erhalten wir immer wieder Zuwendungen von Stiftungen und Sponsoren. Ohne diese Unterstützung könnte Procap Schweiz die so wichtige Hilfe zur Selbsthilfe nicht aufrechterhalten. </t>
  </si>
  <si>
    <t>Erläuterungen zu Positionen der Rechnung über die Veränderung des Kapitals 2021 / 2022</t>
  </si>
  <si>
    <t xml:space="preserve">Ohne die Freiwilligenarbeit, vor allem im Bereich Reisen und Sport, wäre es Procap Schweiz nicht möglich, die Angebote in diesem Umfang und zu den Kosten zu erbringen. 2022 wurden rund 60'000 Arbeitsstunden  von Reiseleiter/innen und -begleiter/innen erbracht. Dies entspricht rund 30 Vollzeitstellen. Sie hatten insgesamt 574 Einsätze und betreuten rund 910  Personen. </t>
  </si>
  <si>
    <r>
      <t>Diese Position umfasst drei Fonds</t>
    </r>
    <r>
      <rPr>
        <sz val="11"/>
        <color indexed="8"/>
        <rFont val="Arial"/>
        <family val="2"/>
      </rPr>
      <t>, welche zweckgebunden eingesetzt werden. Die Gelder des Sportfonds werden für Aktivitäten rund um den Sport, diejenigen des Fonds Bauen Bern werden für Aktivitäten im Bereich Bauen im Kanton Bern eingesetzt. Mit dem Fonds Tourismus werden Projekte und Ausgaben im Zusammenhang mit hindernisfreiem Tourismus entschädigt.</t>
    </r>
  </si>
  <si>
    <t xml:space="preserve">Procap Schweiz führt keine Anlagebuchhaltung. In den Vorjahren wurden jeweils die Zugänge zum Anschaffungswert kumuliert und auch die entsprechenden Abschreibungen kumuliert. Abgänge/Verkäufe in der Informatik und den Mobilien wurden im Anlagespiegel nicht ausgewiesen. In der Buchhaltung ist der Nettobuchwert dieser Sachanlagen jeweils korrekt ausgewiesen. </t>
  </si>
  <si>
    <t>7) Passive Rechnungsabgrenzung</t>
  </si>
  <si>
    <t>Procap Schweiz, als Vertragspartner des Bundesamtes für Sozialversicherung, erhält pro Jahr etwas über CHF 7,18 Mio an Finanzhilfen. Da Procap Schweiz nicht alle Leistungen selber erbringt, wurden mit Untervertragsnehmern entsprechende Verträge abgeschlossen. Die nicht in der Erfolgsrechnung von Procap Schweiz verbuchten Finanzhilfen von rund CHF 3.29 Mio werden diesen Untervertragsnehmern  weitergeleitet.</t>
  </si>
  <si>
    <t>Die Abschreibungen auf Sachanlagen sind aufgeteilt in:</t>
  </si>
  <si>
    <t>In dieser Position sind die Abgrenzung des Sammeljahres von rund CHF 278'500.00 (Vorjahr CHF 283'000.00), die Abgrenzungen Reisen für 2023 von rund CHF 18'700.00 (Vorjahr CHF 22'200.00)  und andere diverse Abgrenzungen verbucht.</t>
  </si>
  <si>
    <t>Im Vorjahr 2021 konnte Procap Schweiz den Verlaufbonus einer Versicherung  verbuchen.</t>
  </si>
  <si>
    <t>BSV-Beiträge</t>
  </si>
  <si>
    <t xml:space="preserve">Aufgrund von Covid konnten in den Jahren 2020 und 2021 die mit dem Bundesamt für Sozialversicherung (BSV) vertraglich vereinbarten Leistungen aufgrund der behördlichen Auflagen nicht vollumfänglich erbracht werden (z.B. Annullierung von Kursen, Treffpunkten und Sportangeboten, Einbruch bei der Reiseberatung). Die Minderleistungen konnten im Jahr 2022 fast vollumgänglich kompensiert werden. Zum heutigen Zeitpunkt geht Procap Schweiz davon aus, dass der vereinbarte Leistungsumfang für die Jahre 2020 bis 2023 vollumfänglich erbracht werden kann und es zu keinen Rückzahlungen von BSV-Finanzhilfen kommen wird. </t>
  </si>
  <si>
    <t>16) Beiträge an andere Organisationen</t>
  </si>
  <si>
    <t>17) Abschreibungen auf Sachanlagen</t>
  </si>
  <si>
    <t>18) Sonstiger Aufwand, Spesen</t>
  </si>
  <si>
    <t>19) Finanzergebnis</t>
  </si>
  <si>
    <t>20) Liegenschaftsergebnis</t>
  </si>
  <si>
    <t>21) Zweckgebundene Fonds</t>
  </si>
  <si>
    <t>22) Fonds mit einschränkender Zweckbindung</t>
  </si>
  <si>
    <t>In dieser Position sind Einnahmen aus dem Verkauf von Reisen und Sportcamps von rund CHF 2'240'400.00 (Vorjahr CHF 1'387'000.00), Dienstleistungen im Bereich Rechtsdienst von rund CHF 591'800.00 (Vorjahr CHF 671'700.00), Dienstleistungen im Bereich Bauen von rund CHF 624'100.00 (Vorjahr CHF 577'300.00 ) und die Verrechnung von zentralen Dienstleistungen von CHF 710'500.00 (Vorjahr CHF 628'200.00) enthalten. Unter den Dienstleistungen ist der Basisbeitrag 2022 von CHF 2'000 von swiss olympic verbucht. Dieser Basisbeitrag ist zweckgebunden und wird im Sinne der allgemeinen Sportförderung eingesetzt.</t>
  </si>
  <si>
    <t>Bericht Revisionsstelle einfügen</t>
  </si>
  <si>
    <t>Irene Hodel, Leiterin Finanzen und Zentrale Dienste, Mitglied der Geschäftsleitung</t>
  </si>
  <si>
    <t>Rechnung über die Veränderung des Kapitals 2021</t>
  </si>
  <si>
    <t>Fonds Winkler</t>
  </si>
  <si>
    <t>Abnahme (+) / Zunahme (-) Vorräte</t>
  </si>
  <si>
    <t>Der Personalaufwand ist gegenüber dem Vorjahr um rund CHF 800'000 angestiegen, was darauf zurückzuführen ist, dass die Stellen wieder voll besetzt waren, im Vorjahr war dies zufolge Covid nicht der Fall.
Die Entschädigung der zwei (Vorjahr zwei) Geschäftsleitungsmitglieder betrug insgesamt CHF 321'189  (Vorjahr 337'869)  Aufgeteilt in rund 2/3 für ihre Funktion als Ressortleitende und 1/3 für ihre Funktion als Geschäftsleitungsmitglieder. Das Verhältnis tiefster zu höchster Lohn beträgt 1 zu 2.9  (Vorjahr 2.9). Insgesamt waren 104  (Vorjahr 93) Personen in 66.70 (Vorjahr 60.70) Vollzeitstellen beschäftigt. Davon sind 11 Personen (Vorjahr 11 Personen) in 6.6 Stellen (Vorjahr 5.9 Stellen) Menschen mit einer von der IV anerkannten Behinderung.</t>
  </si>
  <si>
    <t>Zunahme (+) / Abnahme (-) passive Rechnungsabgrenzung</t>
  </si>
  <si>
    <t>Dem freien Kapital wurden insgesamt CHF 592'463.13 belastet. Dieser Betrag setzt sich zusammen aus dem Jahresergebnis von CHF 617'463.13 und der Entnahme aus dem Strukturfonds von CHF 25'000.00.</t>
  </si>
  <si>
    <t>Abnahme (+) / Zunahme (-) aktive Rechnungsabgrenzung</t>
  </si>
  <si>
    <t>Abnahme (+) / Zunahme (-) Forderungen</t>
  </si>
  <si>
    <t>Zunahme (+) / Abnahme (-) kurzfristige Verbindlichkeiten</t>
  </si>
  <si>
    <t>In dieser Position sind die Ferien- und Überstundenguthaben der Mitarbeitenden von rund CHF 353'900.00 (Vorjahr CHF  383'200.00), die Abgrenzung des Sammeljahres von rund CHF 547'100.00 (Vorjahr CHF 575'800.00), die Abgrenzungen von Projekten von rund CHF 294'500.00 (Vorjahr 118'500.00), die Abgrenzungen von Dienstleistungen von CHF 156'000.00 (Vorjahr CHF 111'500.00) und andere diverse Abgrenzungen verbucht.</t>
  </si>
  <si>
    <t xml:space="preserve">Das Sammlungsergebnis netto hat im Vergleich zum Vorjahr um CHF 83'000.00 abgenommen. </t>
  </si>
  <si>
    <t>Procap Schweiz hat weder Tochtergesellschaften noch Partnerinstitutionen, bei denen sie einen beherrschenden Einfluss ausübt oder aufgrund von gemeinsamer Kontrolle und Führung  ausüben könnte. Die Sektionen und Sportgruppen von Procap sind eigenständige Vereine mit eigener Rechnung und haben als Kollektivmitglieder Stimmrecht.</t>
  </si>
</sst>
</file>

<file path=xl/styles.xml><?xml version="1.0" encoding="utf-8"?>
<styleSheet xmlns="http://schemas.openxmlformats.org/spreadsheetml/2006/main">
  <numFmts count="2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0.00"/>
  </numFmts>
  <fonts count="58">
    <font>
      <sz val="11"/>
      <color theme="1"/>
      <name val="Calibri"/>
      <family val="2"/>
    </font>
    <font>
      <sz val="11"/>
      <color indexed="8"/>
      <name val="Calibri"/>
      <family val="2"/>
    </font>
    <font>
      <sz val="11"/>
      <color indexed="8"/>
      <name val="Arial"/>
      <family val="2"/>
    </font>
    <font>
      <sz val="11"/>
      <name val="Arial"/>
      <family val="2"/>
    </font>
    <font>
      <sz val="28"/>
      <color indexed="62"/>
      <name val="Arial"/>
      <family val="2"/>
    </font>
    <font>
      <b/>
      <sz val="11"/>
      <color indexed="8"/>
      <name val="Arial"/>
      <family val="2"/>
    </font>
    <font>
      <sz val="9"/>
      <color indexed="8"/>
      <name val="Arial"/>
      <family val="2"/>
    </font>
    <font>
      <u val="single"/>
      <sz val="9.35"/>
      <color indexed="12"/>
      <name val="Calibri"/>
      <family val="2"/>
    </font>
    <font>
      <u val="single"/>
      <sz val="9.35"/>
      <color indexed="36"/>
      <name val="Calibri"/>
      <family val="2"/>
    </font>
    <font>
      <b/>
      <sz val="11"/>
      <name val="Arial"/>
      <family val="2"/>
    </font>
    <font>
      <sz val="9"/>
      <name val="Segoe UI"/>
      <family val="2"/>
    </font>
    <font>
      <b/>
      <sz val="9"/>
      <name val="Segoe UI"/>
      <family val="2"/>
    </font>
    <font>
      <i/>
      <sz val="9"/>
      <color indexed="8"/>
      <name val="Arial"/>
      <family val="2"/>
    </font>
    <font>
      <b/>
      <i/>
      <sz val="11"/>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10"/>
      <name val="Arial"/>
      <family val="2"/>
    </font>
    <font>
      <i/>
      <sz val="9"/>
      <color indexed="10"/>
      <name val="Arial"/>
      <family val="2"/>
    </font>
    <font>
      <sz val="9"/>
      <color indexed="10"/>
      <name val="Arial"/>
      <family val="2"/>
    </font>
    <font>
      <sz val="11"/>
      <color indexed="40"/>
      <name val="Arial"/>
      <family val="2"/>
    </font>
    <font>
      <sz val="12"/>
      <color indexed="8"/>
      <name val="Times New Roman"/>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rial"/>
      <family val="2"/>
    </font>
    <font>
      <i/>
      <sz val="9"/>
      <color rgb="FFFF0000"/>
      <name val="Arial"/>
      <family val="2"/>
    </font>
    <font>
      <sz val="9"/>
      <color rgb="FFFF0000"/>
      <name val="Arial"/>
      <family val="2"/>
    </font>
    <font>
      <sz val="11"/>
      <color rgb="FF00B0F0"/>
      <name val="Arial"/>
      <family val="2"/>
    </font>
    <font>
      <sz val="11"/>
      <color rgb="FF000000"/>
      <name val="Arial"/>
      <family val="2"/>
    </font>
    <font>
      <sz val="11"/>
      <color theme="1"/>
      <name val="Arial"/>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5" borderId="2" applyNumberFormat="0" applyAlignment="0" applyProtection="0"/>
    <xf numFmtId="0" fontId="8" fillId="0" borderId="0" applyNumberFormat="0" applyFill="0" applyBorder="0" applyAlignment="0" applyProtection="0"/>
    <xf numFmtId="41" fontId="1" fillId="0" borderId="0" applyFont="0" applyFill="0" applyBorder="0" applyAlignment="0" applyProtection="0"/>
    <xf numFmtId="0" fontId="38" fillId="26"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7" borderId="0" applyNumberFormat="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42"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5" fontId="1" fillId="0" borderId="0" applyFont="0" applyFill="0" applyBorder="0" applyAlignment="0" applyProtection="0"/>
    <xf numFmtId="174" fontId="1" fillId="0" borderId="0" applyFont="0" applyFill="0" applyBorder="0" applyAlignment="0" applyProtection="0"/>
    <xf numFmtId="0" fontId="49" fillId="0" borderId="0" applyNumberFormat="0" applyFill="0" applyBorder="0" applyAlignment="0" applyProtection="0"/>
    <xf numFmtId="0" fontId="50" fillId="31" borderId="9" applyNumberFormat="0" applyAlignment="0" applyProtection="0"/>
  </cellStyleXfs>
  <cellXfs count="180">
    <xf numFmtId="0" fontId="0"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4" fontId="2" fillId="0" borderId="0" xfId="0" applyNumberFormat="1" applyFont="1" applyBorder="1" applyAlignment="1">
      <alignment vertical="center"/>
    </xf>
    <xf numFmtId="4" fontId="2" fillId="0" borderId="0" xfId="0" applyNumberFormat="1" applyFont="1" applyAlignment="1">
      <alignment vertical="center"/>
    </xf>
    <xf numFmtId="0" fontId="2" fillId="0" borderId="10" xfId="0" applyFont="1" applyBorder="1" applyAlignment="1">
      <alignment vertical="center"/>
    </xf>
    <xf numFmtId="4" fontId="2" fillId="0" borderId="10" xfId="0" applyNumberFormat="1" applyFont="1" applyBorder="1" applyAlignment="1">
      <alignment vertical="center"/>
    </xf>
    <xf numFmtId="4" fontId="5" fillId="0" borderId="0" xfId="0" applyNumberFormat="1" applyFont="1" applyBorder="1" applyAlignment="1">
      <alignment vertical="center"/>
    </xf>
    <xf numFmtId="0" fontId="2" fillId="0" borderId="11" xfId="0" applyFont="1" applyBorder="1" applyAlignment="1">
      <alignment vertical="center"/>
    </xf>
    <xf numFmtId="4" fontId="5" fillId="0" borderId="11" xfId="0" applyNumberFormat="1" applyFont="1" applyBorder="1" applyAlignment="1">
      <alignment vertical="center"/>
    </xf>
    <xf numFmtId="0" fontId="5" fillId="0" borderId="12" xfId="0" applyFont="1" applyBorder="1" applyAlignment="1">
      <alignment vertical="center"/>
    </xf>
    <xf numFmtId="4" fontId="5" fillId="0" borderId="12" xfId="0" applyNumberFormat="1" applyFont="1" applyBorder="1" applyAlignment="1">
      <alignment vertical="center"/>
    </xf>
    <xf numFmtId="0" fontId="5" fillId="0" borderId="0" xfId="0" applyFont="1" applyBorder="1" applyAlignment="1">
      <alignment horizontal="right" vertical="center"/>
    </xf>
    <xf numFmtId="0" fontId="5" fillId="0" borderId="10" xfId="0" applyFont="1" applyBorder="1" applyAlignment="1">
      <alignment vertical="center"/>
    </xf>
    <xf numFmtId="0" fontId="2" fillId="0" borderId="10" xfId="0" applyFont="1" applyBorder="1" applyAlignment="1">
      <alignment horizontal="center" vertical="center"/>
    </xf>
    <xf numFmtId="4" fontId="5" fillId="0" borderId="10" xfId="0" applyNumberFormat="1" applyFont="1" applyBorder="1" applyAlignment="1">
      <alignment vertical="center"/>
    </xf>
    <xf numFmtId="0" fontId="2" fillId="0" borderId="0" xfId="0" applyFont="1" applyAlignment="1">
      <alignment horizontal="right"/>
    </xf>
    <xf numFmtId="0" fontId="5" fillId="0" borderId="0" xfId="0" applyFont="1" applyAlignment="1">
      <alignment/>
    </xf>
    <xf numFmtId="0" fontId="5" fillId="0" borderId="0" xfId="0" applyFont="1" applyAlignment="1">
      <alignment horizontal="right"/>
    </xf>
    <xf numFmtId="4" fontId="2" fillId="0" borderId="0" xfId="0" applyNumberFormat="1" applyFont="1" applyAlignment="1">
      <alignment/>
    </xf>
    <xf numFmtId="0" fontId="2" fillId="0" borderId="0" xfId="0" applyFont="1" applyAlignment="1">
      <alignment horizontal="center"/>
    </xf>
    <xf numFmtId="4" fontId="5" fillId="0" borderId="0" xfId="0" applyNumberFormat="1" applyFont="1" applyAlignment="1">
      <alignment/>
    </xf>
    <xf numFmtId="0" fontId="5" fillId="0" borderId="12" xfId="0" applyFont="1" applyBorder="1" applyAlignment="1">
      <alignment/>
    </xf>
    <xf numFmtId="0" fontId="2" fillId="0" borderId="12" xfId="0" applyFont="1" applyBorder="1" applyAlignment="1">
      <alignment/>
    </xf>
    <xf numFmtId="4" fontId="5" fillId="0" borderId="12" xfId="0" applyNumberFormat="1"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4" fontId="2" fillId="0" borderId="10" xfId="0" applyNumberFormat="1" applyFont="1" applyBorder="1" applyAlignment="1">
      <alignment/>
    </xf>
    <xf numFmtId="0" fontId="5" fillId="0" borderId="11" xfId="0" applyFont="1" applyBorder="1" applyAlignment="1">
      <alignment/>
    </xf>
    <xf numFmtId="4" fontId="5" fillId="0" borderId="11" xfId="0" applyNumberFormat="1"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horizontal="center"/>
    </xf>
    <xf numFmtId="0" fontId="6" fillId="0" borderId="0" xfId="0" applyFont="1" applyAlignment="1">
      <alignment/>
    </xf>
    <xf numFmtId="0" fontId="2" fillId="0" borderId="0" xfId="0" applyFont="1" applyAlignment="1">
      <alignment/>
    </xf>
    <xf numFmtId="14" fontId="5" fillId="0" borderId="0" xfId="0" applyNumberFormat="1" applyFont="1" applyAlignment="1">
      <alignment/>
    </xf>
    <xf numFmtId="0" fontId="5" fillId="0" borderId="12" xfId="0" applyFont="1" applyBorder="1" applyAlignment="1">
      <alignment horizontal="right"/>
    </xf>
    <xf numFmtId="0" fontId="2" fillId="0" borderId="13" xfId="0" applyFont="1" applyBorder="1" applyAlignment="1">
      <alignment/>
    </xf>
    <xf numFmtId="0" fontId="2" fillId="0" borderId="0"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xf>
    <xf numFmtId="0" fontId="5" fillId="0" borderId="13" xfId="0" applyFont="1" applyBorder="1" applyAlignment="1">
      <alignment/>
    </xf>
    <xf numFmtId="0" fontId="5" fillId="0" borderId="13" xfId="0" applyFont="1" applyBorder="1" applyAlignment="1">
      <alignment horizontal="right"/>
    </xf>
    <xf numFmtId="4" fontId="2" fillId="0" borderId="0" xfId="0" applyNumberFormat="1" applyFont="1" applyBorder="1" applyAlignment="1">
      <alignment/>
    </xf>
    <xf numFmtId="0" fontId="6" fillId="0" borderId="0" xfId="0" applyFont="1" applyAlignment="1">
      <alignment/>
    </xf>
    <xf numFmtId="0" fontId="3" fillId="0" borderId="0" xfId="0" applyFont="1" applyAlignment="1">
      <alignment/>
    </xf>
    <xf numFmtId="4" fontId="5" fillId="0" borderId="10" xfId="0" applyNumberFormat="1" applyFont="1" applyBorder="1" applyAlignment="1">
      <alignment/>
    </xf>
    <xf numFmtId="4" fontId="2" fillId="0" borderId="13" xfId="0" applyNumberFormat="1" applyFont="1" applyBorder="1" applyAlignment="1">
      <alignment/>
    </xf>
    <xf numFmtId="4" fontId="5" fillId="0" borderId="13" xfId="0" applyNumberFormat="1" applyFont="1" applyBorder="1" applyAlignment="1">
      <alignment/>
    </xf>
    <xf numFmtId="0" fontId="5" fillId="0" borderId="0" xfId="0" applyFont="1" applyAlignment="1">
      <alignment horizontal="center"/>
    </xf>
    <xf numFmtId="0" fontId="5" fillId="0" borderId="0" xfId="0" applyFont="1" applyBorder="1" applyAlignment="1">
      <alignment horizontal="center" vertical="center"/>
    </xf>
    <xf numFmtId="0" fontId="2" fillId="0" borderId="0" xfId="0" applyFont="1" applyAlignment="1">
      <alignment horizontal="justify" wrapText="1"/>
    </xf>
    <xf numFmtId="0" fontId="2" fillId="0" borderId="10" xfId="0" applyFont="1" applyBorder="1" applyAlignment="1">
      <alignment horizontal="center"/>
    </xf>
    <xf numFmtId="4" fontId="5" fillId="0" borderId="0" xfId="0" applyNumberFormat="1" applyFont="1" applyBorder="1"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0" fontId="2" fillId="0" borderId="0" xfId="0" applyFont="1" applyFill="1" applyAlignment="1">
      <alignment/>
    </xf>
    <xf numFmtId="4" fontId="2" fillId="0" borderId="0" xfId="0" applyNumberFormat="1" applyFont="1" applyFill="1" applyAlignment="1">
      <alignment/>
    </xf>
    <xf numFmtId="4" fontId="5" fillId="0" borderId="12"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4" fontId="2" fillId="0" borderId="0" xfId="0" applyNumberFormat="1" applyFont="1" applyFill="1" applyBorder="1" applyAlignment="1">
      <alignment/>
    </xf>
    <xf numFmtId="4" fontId="2" fillId="0" borderId="0" xfId="0" applyNumberFormat="1" applyFont="1" applyFill="1" applyBorder="1" applyAlignment="1">
      <alignment/>
    </xf>
    <xf numFmtId="4" fontId="2" fillId="0" borderId="10" xfId="0" applyNumberFormat="1" applyFont="1" applyFill="1" applyBorder="1" applyAlignment="1">
      <alignment/>
    </xf>
    <xf numFmtId="4" fontId="2" fillId="0" borderId="0" xfId="0" applyNumberFormat="1" applyFont="1" applyFill="1" applyAlignment="1">
      <alignment vertical="center"/>
    </xf>
    <xf numFmtId="0" fontId="9" fillId="0" borderId="12" xfId="0" applyFont="1" applyBorder="1" applyAlignment="1">
      <alignment/>
    </xf>
    <xf numFmtId="0" fontId="9" fillId="0" borderId="0" xfId="0" applyFont="1" applyAlignment="1">
      <alignment/>
    </xf>
    <xf numFmtId="0" fontId="3" fillId="0" borderId="10" xfId="0" applyFont="1" applyBorder="1" applyAlignment="1">
      <alignment/>
    </xf>
    <xf numFmtId="0" fontId="3" fillId="0" borderId="0" xfId="0" applyFont="1" applyAlignment="1">
      <alignment horizontal="right"/>
    </xf>
    <xf numFmtId="4" fontId="3" fillId="0" borderId="0" xfId="0" applyNumberFormat="1" applyFont="1" applyAlignment="1">
      <alignment/>
    </xf>
    <xf numFmtId="0" fontId="2" fillId="0" borderId="0" xfId="0" applyFont="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4" fontId="2" fillId="0" borderId="0" xfId="0" applyNumberFormat="1" applyFont="1" applyFill="1" applyAlignment="1">
      <alignment/>
    </xf>
    <xf numFmtId="0" fontId="3" fillId="0" borderId="0" xfId="0" applyFont="1" applyFill="1" applyAlignment="1">
      <alignment horizontal="justify" wrapText="1"/>
    </xf>
    <xf numFmtId="0" fontId="5" fillId="0" borderId="0" xfId="0" applyFont="1" applyFill="1" applyAlignment="1">
      <alignment/>
    </xf>
    <xf numFmtId="0" fontId="2" fillId="0" borderId="0" xfId="0" applyFont="1" applyAlignment="1">
      <alignment horizontal="right"/>
    </xf>
    <xf numFmtId="0" fontId="2" fillId="0" borderId="0" xfId="0" applyFont="1" applyFill="1" applyAlignment="1">
      <alignment vertical="center"/>
    </xf>
    <xf numFmtId="0" fontId="2" fillId="0" borderId="0" xfId="0" applyFont="1" applyAlignment="1">
      <alignment vertical="center"/>
    </xf>
    <xf numFmtId="4" fontId="3" fillId="0" borderId="10" xfId="0" applyNumberFormat="1" applyFont="1" applyFill="1" applyBorder="1" applyAlignment="1">
      <alignment/>
    </xf>
    <xf numFmtId="0" fontId="2" fillId="0" borderId="0" xfId="0" applyFont="1" applyFill="1" applyBorder="1" applyAlignment="1">
      <alignment vertical="center"/>
    </xf>
    <xf numFmtId="0" fontId="5" fillId="0" borderId="0" xfId="0" applyFont="1" applyAlignment="1">
      <alignment horizontal="justify" wrapText="1"/>
    </xf>
    <xf numFmtId="0" fontId="2" fillId="0" borderId="0" xfId="0" applyFont="1" applyAlignment="1">
      <alignment horizontal="justify" wrapText="1"/>
    </xf>
    <xf numFmtId="14" fontId="5" fillId="0" borderId="0" xfId="0" applyNumberFormat="1" applyFont="1" applyAlignment="1">
      <alignment horizontal="center" wrapText="1"/>
    </xf>
    <xf numFmtId="0" fontId="3" fillId="0" borderId="0" xfId="0" applyFont="1" applyAlignment="1">
      <alignment horizontal="justify" wrapText="1"/>
    </xf>
    <xf numFmtId="0" fontId="2" fillId="0" borderId="0" xfId="0" applyFont="1" applyAlignment="1">
      <alignment horizontal="left" wrapText="1"/>
    </xf>
    <xf numFmtId="4" fontId="2" fillId="0" borderId="0" xfId="0" applyNumberFormat="1" applyFont="1" applyBorder="1" applyAlignment="1">
      <alignment vertical="center"/>
    </xf>
    <xf numFmtId="4" fontId="2" fillId="0" borderId="0" xfId="0" applyNumberFormat="1" applyFont="1" applyAlignment="1">
      <alignment horizontal="right"/>
    </xf>
    <xf numFmtId="4" fontId="2" fillId="0" borderId="0" xfId="0" applyNumberFormat="1" applyFont="1" applyFill="1" applyBorder="1" applyAlignment="1">
      <alignment vertical="center"/>
    </xf>
    <xf numFmtId="4" fontId="2" fillId="0" borderId="10" xfId="0" applyNumberFormat="1" applyFont="1" applyFill="1" applyBorder="1" applyAlignment="1">
      <alignment vertical="center"/>
    </xf>
    <xf numFmtId="4" fontId="5" fillId="0" borderId="0" xfId="0" applyNumberFormat="1" applyFont="1" applyFill="1" applyBorder="1" applyAlignment="1">
      <alignment vertical="center"/>
    </xf>
    <xf numFmtId="4" fontId="2" fillId="0" borderId="0" xfId="0" applyNumberFormat="1" applyFont="1" applyFill="1" applyAlignment="1">
      <alignment vertical="center"/>
    </xf>
    <xf numFmtId="0" fontId="2" fillId="0" borderId="12" xfId="0" applyFont="1" applyBorder="1" applyAlignment="1">
      <alignment horizontal="right"/>
    </xf>
    <xf numFmtId="4" fontId="2" fillId="0" borderId="12" xfId="0" applyNumberFormat="1" applyFont="1" applyFill="1" applyBorder="1" applyAlignment="1">
      <alignment/>
    </xf>
    <xf numFmtId="0" fontId="2" fillId="0" borderId="0" xfId="0" applyFont="1" applyFill="1" applyAlignment="1">
      <alignment horizontal="justify" wrapText="1"/>
    </xf>
    <xf numFmtId="0" fontId="2" fillId="0" borderId="0" xfId="0" applyFont="1" applyFill="1" applyAlignment="1">
      <alignment horizontal="justify" wrapText="1"/>
    </xf>
    <xf numFmtId="0" fontId="2" fillId="0" borderId="0" xfId="0" applyFont="1" applyFill="1" applyAlignment="1">
      <alignment horizontal="left" wrapText="1"/>
    </xf>
    <xf numFmtId="0" fontId="5" fillId="0" borderId="0" xfId="0" applyFont="1" applyFill="1" applyAlignment="1">
      <alignment horizontal="right"/>
    </xf>
    <xf numFmtId="0" fontId="2" fillId="0" borderId="0" xfId="0" applyFont="1" applyFill="1" applyAlignment="1">
      <alignment horizontal="right"/>
    </xf>
    <xf numFmtId="4" fontId="5" fillId="0" borderId="0" xfId="0" applyNumberFormat="1" applyFont="1" applyFill="1" applyAlignment="1">
      <alignment/>
    </xf>
    <xf numFmtId="0" fontId="0" fillId="0" borderId="0" xfId="0" applyAlignment="1">
      <alignment horizontal="justify" wrapText="1"/>
    </xf>
    <xf numFmtId="0" fontId="2" fillId="0" borderId="0" xfId="0" applyFont="1" applyFill="1" applyAlignment="1">
      <alignment horizontal="center"/>
    </xf>
    <xf numFmtId="4" fontId="2" fillId="0" borderId="0" xfId="0" applyNumberFormat="1" applyFont="1" applyAlignment="1">
      <alignment horizontal="right"/>
    </xf>
    <xf numFmtId="0" fontId="2" fillId="0" borderId="10" xfId="0" applyFont="1" applyBorder="1" applyAlignment="1">
      <alignment/>
    </xf>
    <xf numFmtId="4" fontId="2" fillId="0" borderId="0" xfId="0" applyNumberFormat="1" applyFont="1" applyFill="1" applyAlignment="1">
      <alignment wrapText="1"/>
    </xf>
    <xf numFmtId="14" fontId="5" fillId="0" borderId="0" xfId="0" applyNumberFormat="1" applyFont="1" applyFill="1" applyAlignment="1">
      <alignment/>
    </xf>
    <xf numFmtId="0" fontId="5" fillId="0" borderId="12" xfId="0" applyFont="1" applyFill="1" applyBorder="1" applyAlignment="1">
      <alignment/>
    </xf>
    <xf numFmtId="0" fontId="5" fillId="0" borderId="12" xfId="0" applyFont="1" applyFill="1" applyBorder="1" applyAlignment="1">
      <alignment horizontal="right"/>
    </xf>
    <xf numFmtId="0" fontId="5"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Alignment="1">
      <alignment vertical="center"/>
    </xf>
    <xf numFmtId="4" fontId="2" fillId="0" borderId="0" xfId="0" applyNumberFormat="1" applyFont="1" applyAlignment="1">
      <alignment vertical="center"/>
    </xf>
    <xf numFmtId="4" fontId="5" fillId="0" borderId="10" xfId="0" applyNumberFormat="1" applyFont="1" applyFill="1" applyBorder="1" applyAlignment="1">
      <alignment/>
    </xf>
    <xf numFmtId="4" fontId="3" fillId="0" borderId="0" xfId="0" applyNumberFormat="1" applyFont="1" applyFill="1" applyAlignment="1">
      <alignment/>
    </xf>
    <xf numFmtId="0" fontId="51" fillId="0" borderId="0" xfId="0" applyFont="1" applyAlignment="1">
      <alignment/>
    </xf>
    <xf numFmtId="0" fontId="51" fillId="0" borderId="0" xfId="0" applyFont="1" applyAlignment="1">
      <alignment horizontal="right"/>
    </xf>
    <xf numFmtId="4" fontId="51" fillId="0" borderId="0" xfId="0" applyNumberFormat="1" applyFont="1" applyAlignment="1">
      <alignment/>
    </xf>
    <xf numFmtId="4" fontId="52" fillId="0" borderId="0" xfId="0" applyNumberFormat="1" applyFont="1" applyFill="1" applyAlignment="1">
      <alignment/>
    </xf>
    <xf numFmtId="4" fontId="51" fillId="0" borderId="0" xfId="0" applyNumberFormat="1" applyFont="1" applyFill="1" applyAlignment="1">
      <alignment/>
    </xf>
    <xf numFmtId="4" fontId="53" fillId="0" borderId="0" xfId="0" applyNumberFormat="1" applyFont="1" applyFill="1" applyAlignment="1">
      <alignment/>
    </xf>
    <xf numFmtId="0" fontId="51" fillId="0" borderId="0" xfId="0" applyFont="1" applyAlignment="1">
      <alignment wrapText="1"/>
    </xf>
    <xf numFmtId="0" fontId="54" fillId="0" borderId="0" xfId="0" applyFont="1" applyAlignment="1">
      <alignment horizontal="center"/>
    </xf>
    <xf numFmtId="0" fontId="54" fillId="0" borderId="0" xfId="0" applyFont="1" applyAlignment="1">
      <alignment/>
    </xf>
    <xf numFmtId="0" fontId="3" fillId="0" borderId="0" xfId="0" applyFont="1" applyAlignment="1">
      <alignment horizontal="center"/>
    </xf>
    <xf numFmtId="0" fontId="3" fillId="0" borderId="0" xfId="0" applyFont="1" applyAlignment="1">
      <alignment horizontal="left" readingOrder="1"/>
    </xf>
    <xf numFmtId="0" fontId="5" fillId="0" borderId="0" xfId="0" applyFont="1" applyFill="1" applyAlignment="1">
      <alignment horizontal="justify" wrapText="1"/>
    </xf>
    <xf numFmtId="0" fontId="5" fillId="0" borderId="0" xfId="0" applyFont="1" applyFill="1" applyBorder="1" applyAlignment="1">
      <alignment/>
    </xf>
    <xf numFmtId="0" fontId="3" fillId="0" borderId="0" xfId="0" applyFont="1" applyFill="1" applyAlignment="1">
      <alignment/>
    </xf>
    <xf numFmtId="4" fontId="5" fillId="0" borderId="12" xfId="0" applyNumberFormat="1" applyFont="1" applyFill="1" applyBorder="1" applyAlignment="1">
      <alignment horizontal="right"/>
    </xf>
    <xf numFmtId="0" fontId="55" fillId="0" borderId="0" xfId="0" applyFont="1" applyAlignment="1">
      <alignment vertical="center"/>
    </xf>
    <xf numFmtId="4" fontId="2" fillId="0" borderId="0" xfId="0" applyNumberFormat="1" applyFont="1" applyFill="1" applyBorder="1" applyAlignment="1">
      <alignment vertical="center"/>
    </xf>
    <xf numFmtId="4" fontId="5" fillId="0" borderId="12" xfId="0" applyNumberFormat="1" applyFont="1" applyFill="1" applyBorder="1" applyAlignment="1">
      <alignment vertical="center"/>
    </xf>
    <xf numFmtId="0" fontId="2" fillId="0" borderId="0" xfId="0" applyFont="1" applyFill="1" applyBorder="1" applyAlignment="1">
      <alignment/>
    </xf>
    <xf numFmtId="4" fontId="5" fillId="0" borderId="0" xfId="0" applyNumberFormat="1" applyFont="1" applyFill="1" applyBorder="1" applyAlignment="1">
      <alignment/>
    </xf>
    <xf numFmtId="4" fontId="3" fillId="0" borderId="0" xfId="0" applyNumberFormat="1" applyFont="1" applyFill="1" applyBorder="1" applyAlignment="1">
      <alignment/>
    </xf>
    <xf numFmtId="4" fontId="56" fillId="0" borderId="0" xfId="0" applyNumberFormat="1" applyFont="1" applyAlignment="1">
      <alignment/>
    </xf>
    <xf numFmtId="0" fontId="56" fillId="0" borderId="0" xfId="0" applyFont="1" applyAlignment="1">
      <alignment/>
    </xf>
    <xf numFmtId="4" fontId="54" fillId="0" borderId="0" xfId="0" applyNumberFormat="1" applyFont="1" applyFill="1" applyBorder="1" applyAlignment="1">
      <alignment/>
    </xf>
    <xf numFmtId="0" fontId="5" fillId="0" borderId="0" xfId="0" applyFont="1" applyFill="1" applyBorder="1" applyAlignment="1">
      <alignment horizontal="right"/>
    </xf>
    <xf numFmtId="4" fontId="6" fillId="0" borderId="0" xfId="0" applyNumberFormat="1" applyFont="1" applyFill="1" applyBorder="1" applyAlignment="1">
      <alignment/>
    </xf>
    <xf numFmtId="4" fontId="54" fillId="0" borderId="0" xfId="0" applyNumberFormat="1" applyFont="1" applyBorder="1" applyAlignment="1">
      <alignment/>
    </xf>
    <xf numFmtId="4" fontId="12" fillId="0" borderId="0" xfId="0" applyNumberFormat="1" applyFont="1" applyFill="1" applyBorder="1" applyAlignment="1">
      <alignment/>
    </xf>
    <xf numFmtId="14" fontId="5" fillId="0" borderId="0" xfId="0" applyNumberFormat="1" applyFont="1" applyFill="1" applyAlignment="1">
      <alignment horizontal="right" wrapText="1"/>
    </xf>
    <xf numFmtId="14" fontId="5" fillId="0" borderId="0" xfId="0" applyNumberFormat="1" applyFont="1" applyAlignment="1">
      <alignment horizontal="right" wrapText="1"/>
    </xf>
    <xf numFmtId="0" fontId="2" fillId="32" borderId="0" xfId="0" applyFont="1" applyFill="1" applyAlignment="1">
      <alignment/>
    </xf>
    <xf numFmtId="0" fontId="2" fillId="32" borderId="0" xfId="0" applyFont="1" applyFill="1" applyAlignment="1">
      <alignment horizontal="right"/>
    </xf>
    <xf numFmtId="0" fontId="13" fillId="32" borderId="0" xfId="0" applyFont="1" applyFill="1" applyAlignment="1">
      <alignment/>
    </xf>
    <xf numFmtId="0" fontId="6" fillId="0" borderId="0" xfId="0" applyFont="1" applyAlignment="1">
      <alignment horizontal="left" vertical="top"/>
    </xf>
    <xf numFmtId="0" fontId="2" fillId="0" borderId="0" xfId="0" applyFont="1" applyAlignment="1">
      <alignment horizontal="left" vertical="top"/>
    </xf>
    <xf numFmtId="0" fontId="5" fillId="0" borderId="0" xfId="0" applyFont="1" applyFill="1" applyAlignment="1">
      <alignment horizontal="left" vertical="top" wrapText="1"/>
    </xf>
    <xf numFmtId="0" fontId="39" fillId="0" borderId="0" xfId="0" applyFont="1" applyAlignment="1">
      <alignment horizontal="left" vertical="top" wrapText="1"/>
    </xf>
    <xf numFmtId="0" fontId="9" fillId="0" borderId="0" xfId="0" applyFont="1" applyFill="1" applyAlignment="1">
      <alignment horizontal="left" vertical="top" wrapText="1"/>
    </xf>
    <xf numFmtId="0" fontId="0" fillId="0" borderId="0" xfId="0" applyAlignment="1">
      <alignment horizontal="left" vertical="top" wrapText="1"/>
    </xf>
    <xf numFmtId="0" fontId="2" fillId="0" borderId="0" xfId="0" applyFont="1" applyFill="1" applyAlignment="1">
      <alignment horizontal="left" wrapText="1"/>
    </xf>
    <xf numFmtId="0" fontId="5" fillId="0" borderId="0" xfId="0" applyFont="1" applyAlignment="1">
      <alignment horizontal="justify" wrapText="1"/>
    </xf>
    <xf numFmtId="0" fontId="3" fillId="0" borderId="0" xfId="0" applyNumberFormat="1" applyFont="1" applyAlignment="1">
      <alignment horizontal="left" vertical="top" wrapText="1" readingOrder="1"/>
    </xf>
    <xf numFmtId="0" fontId="0" fillId="0" borderId="0" xfId="0" applyAlignment="1">
      <alignment horizontal="left" vertical="top" wrapText="1"/>
    </xf>
    <xf numFmtId="0" fontId="5" fillId="0" borderId="0" xfId="0" applyFont="1" applyFill="1" applyAlignment="1">
      <alignment horizontal="left" wrapText="1"/>
    </xf>
    <xf numFmtId="0" fontId="2" fillId="0" borderId="12" xfId="0" applyFont="1" applyBorder="1" applyAlignment="1">
      <alignment/>
    </xf>
    <xf numFmtId="4" fontId="2" fillId="0" borderId="10" xfId="0" applyNumberFormat="1" applyFont="1" applyBorder="1" applyAlignment="1">
      <alignment/>
    </xf>
    <xf numFmtId="4" fontId="2" fillId="0" borderId="10" xfId="0" applyNumberFormat="1" applyFont="1" applyFill="1" applyBorder="1" applyAlignment="1">
      <alignment/>
    </xf>
    <xf numFmtId="0" fontId="3" fillId="0" borderId="0" xfId="0" applyNumberFormat="1" applyFont="1" applyAlignment="1">
      <alignment horizontal="left" vertical="top" wrapText="1" readingOrder="1"/>
    </xf>
    <xf numFmtId="0" fontId="5" fillId="0" borderId="0" xfId="0" applyFont="1" applyFill="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vertical="top" wrapText="1"/>
    </xf>
    <xf numFmtId="0" fontId="9"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57150</xdr:rowOff>
    </xdr:from>
    <xdr:to>
      <xdr:col>5</xdr:col>
      <xdr:colOff>0</xdr:colOff>
      <xdr:row>2</xdr:row>
      <xdr:rowOff>0</xdr:rowOff>
    </xdr:to>
    <xdr:sp>
      <xdr:nvSpPr>
        <xdr:cNvPr id="1" name="Rectangle 2"/>
        <xdr:cNvSpPr>
          <a:spLocks/>
        </xdr:cNvSpPr>
      </xdr:nvSpPr>
      <xdr:spPr>
        <a:xfrm>
          <a:off x="3962400" y="57150"/>
          <a:ext cx="1295400" cy="5619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0</xdr:colOff>
      <xdr:row>0</xdr:row>
      <xdr:rowOff>0</xdr:rowOff>
    </xdr:from>
    <xdr:to>
      <xdr:col>3</xdr:col>
      <xdr:colOff>714375</xdr:colOff>
      <xdr:row>2</xdr:row>
      <xdr:rowOff>66675</xdr:rowOff>
    </xdr:to>
    <xdr:pic>
      <xdr:nvPicPr>
        <xdr:cNvPr id="2" name="Picture 1"/>
        <xdr:cNvPicPr preferRelativeResize="1">
          <a:picLocks noChangeAspect="1"/>
        </xdr:cNvPicPr>
      </xdr:nvPicPr>
      <xdr:blipFill>
        <a:blip r:embed="rId1"/>
        <a:stretch>
          <a:fillRect/>
        </a:stretch>
      </xdr:blipFill>
      <xdr:spPr>
        <a:xfrm>
          <a:off x="2971800" y="0"/>
          <a:ext cx="17240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586"/>
  <sheetViews>
    <sheetView tabSelected="1" zoomScaleSheetLayoutView="85" zoomScalePageLayoutView="85" workbookViewId="0" topLeftCell="A382">
      <selection activeCell="F390" sqref="F390"/>
    </sheetView>
  </sheetViews>
  <sheetFormatPr defaultColWidth="11.421875" defaultRowHeight="15"/>
  <cols>
    <col min="1" max="1" width="44.57421875" style="2" customWidth="1"/>
    <col min="2" max="2" width="13.421875" style="2" customWidth="1"/>
    <col min="3" max="3" width="1.7109375" style="2" customWidth="1"/>
    <col min="4" max="4" width="17.421875" style="2" customWidth="1"/>
    <col min="5" max="5" width="1.7109375" style="2" customWidth="1"/>
    <col min="6" max="6" width="18.28125" style="2" bestFit="1" customWidth="1"/>
    <col min="7" max="7" width="1.7109375" style="2" customWidth="1"/>
    <col min="8" max="8" width="17.140625" style="2" customWidth="1"/>
    <col min="9" max="9" width="1.57421875" style="2" customWidth="1"/>
    <col min="10" max="10" width="14.57421875" style="2" customWidth="1"/>
    <col min="11" max="11" width="1.421875" style="2" customWidth="1"/>
    <col min="12" max="12" width="13.140625" style="2" customWidth="1"/>
    <col min="13" max="13" width="2.00390625" style="2" customWidth="1"/>
    <col min="14" max="14" width="14.8515625" style="2" customWidth="1"/>
    <col min="15" max="15" width="2.421875" style="2" customWidth="1"/>
    <col min="16" max="16" width="14.140625" style="2" customWidth="1"/>
    <col min="17" max="16384" width="11.421875" style="2" customWidth="1"/>
  </cols>
  <sheetData>
    <row r="1" ht="34.5">
      <c r="A1" s="1" t="s">
        <v>46</v>
      </c>
    </row>
    <row r="2" ht="14.25"/>
    <row r="3" ht="14.25"/>
    <row r="4" spans="1:8" ht="65.25" customHeight="1">
      <c r="A4" s="173" t="s">
        <v>184</v>
      </c>
      <c r="B4" s="173"/>
      <c r="C4" s="173"/>
      <c r="D4" s="173"/>
      <c r="E4" s="173"/>
      <c r="F4" s="173"/>
      <c r="G4" s="136"/>
      <c r="H4" s="136"/>
    </row>
    <row r="5" spans="2:8" ht="14.25">
      <c r="B5" s="3"/>
      <c r="C5" s="3"/>
      <c r="D5" s="3"/>
      <c r="E5" s="3"/>
      <c r="F5" s="3"/>
      <c r="G5" s="3"/>
      <c r="H5" s="3"/>
    </row>
    <row r="6" spans="1:8" s="6" customFormat="1" ht="18" customHeight="1">
      <c r="A6" s="4" t="s">
        <v>47</v>
      </c>
      <c r="B6" s="5"/>
      <c r="C6" s="5"/>
      <c r="D6" s="5"/>
      <c r="E6" s="5"/>
      <c r="F6" s="5"/>
      <c r="G6" s="5"/>
      <c r="H6" s="5"/>
    </row>
    <row r="7" spans="2:8" s="6" customFormat="1" ht="18" customHeight="1">
      <c r="B7" s="5"/>
      <c r="C7" s="5"/>
      <c r="D7" s="5"/>
      <c r="E7" s="5"/>
      <c r="F7" s="5"/>
      <c r="G7" s="5"/>
      <c r="H7" s="91"/>
    </row>
    <row r="8" spans="1:8" s="6" customFormat="1" ht="18" customHeight="1">
      <c r="A8" s="7" t="s">
        <v>48</v>
      </c>
      <c r="B8" s="59" t="s">
        <v>49</v>
      </c>
      <c r="C8" s="8"/>
      <c r="D8" s="121" t="s">
        <v>239</v>
      </c>
      <c r="E8" s="8"/>
      <c r="F8" s="19" t="s">
        <v>211</v>
      </c>
      <c r="G8" s="19"/>
      <c r="H8" s="19"/>
    </row>
    <row r="9" spans="2:8" s="6" customFormat="1" ht="18" customHeight="1">
      <c r="B9" s="5"/>
      <c r="C9" s="5"/>
      <c r="D9" s="120"/>
      <c r="E9" s="5"/>
      <c r="F9" s="5"/>
      <c r="G9" s="5"/>
      <c r="H9" s="5"/>
    </row>
    <row r="10" spans="1:8" s="6" customFormat="1" ht="18" customHeight="1">
      <c r="A10" s="7" t="s">
        <v>52</v>
      </c>
      <c r="B10" s="5"/>
      <c r="C10" s="5"/>
      <c r="D10" s="120"/>
      <c r="E10" s="5"/>
      <c r="F10" s="5"/>
      <c r="G10" s="5"/>
      <c r="H10" s="5"/>
    </row>
    <row r="11" spans="1:8" s="6" customFormat="1" ht="18" customHeight="1">
      <c r="A11" s="6" t="s">
        <v>53</v>
      </c>
      <c r="B11" s="9" t="s">
        <v>57</v>
      </c>
      <c r="C11" s="5"/>
      <c r="D11" s="10">
        <v>3947825.33</v>
      </c>
      <c r="E11" s="5"/>
      <c r="F11" s="10">
        <f>4309766.21-870</f>
        <v>4308896.21</v>
      </c>
      <c r="G11" s="10"/>
      <c r="H11" s="10"/>
    </row>
    <row r="12" spans="1:8" s="6" customFormat="1" ht="18" customHeight="1">
      <c r="A12" s="6" t="s">
        <v>54</v>
      </c>
      <c r="B12" s="9" t="s">
        <v>58</v>
      </c>
      <c r="C12" s="5"/>
      <c r="D12" s="142">
        <v>936413.29</v>
      </c>
      <c r="E12" s="5"/>
      <c r="F12" s="97">
        <f>527353.47+127944.49+870+24000</f>
        <v>680167.96</v>
      </c>
      <c r="G12" s="10"/>
      <c r="H12" s="97"/>
    </row>
    <row r="13" spans="1:8" s="6" customFormat="1" ht="18" customHeight="1">
      <c r="A13" s="6" t="s">
        <v>55</v>
      </c>
      <c r="B13" s="9"/>
      <c r="C13" s="5"/>
      <c r="D13" s="99">
        <v>6500</v>
      </c>
      <c r="E13" s="5"/>
      <c r="F13" s="99">
        <v>475</v>
      </c>
      <c r="G13" s="10"/>
      <c r="H13" s="99"/>
    </row>
    <row r="14" spans="1:8" s="6" customFormat="1" ht="18" customHeight="1">
      <c r="A14" s="6" t="s">
        <v>56</v>
      </c>
      <c r="B14" s="82" t="s">
        <v>62</v>
      </c>
      <c r="C14" s="5"/>
      <c r="D14" s="99">
        <v>369683.11</v>
      </c>
      <c r="E14" s="5"/>
      <c r="F14" s="99">
        <v>406817.62</v>
      </c>
      <c r="G14" s="10"/>
      <c r="H14" s="99"/>
    </row>
    <row r="15" spans="1:8" s="6" customFormat="1" ht="18" customHeight="1">
      <c r="A15" s="12"/>
      <c r="B15" s="12"/>
      <c r="C15" s="12"/>
      <c r="D15" s="100"/>
      <c r="E15" s="12"/>
      <c r="F15" s="100"/>
      <c r="G15" s="10"/>
      <c r="H15" s="10"/>
    </row>
    <row r="16" spans="2:8" s="6" customFormat="1" ht="18" customHeight="1">
      <c r="B16" s="5"/>
      <c r="C16" s="5"/>
      <c r="D16" s="101">
        <f>SUM(D11:D15)</f>
        <v>5260421.73</v>
      </c>
      <c r="E16" s="5"/>
      <c r="F16" s="101">
        <f>SUM(F11:F15)</f>
        <v>5396356.79</v>
      </c>
      <c r="G16" s="14"/>
      <c r="H16" s="14"/>
    </row>
    <row r="17" spans="2:8" s="6" customFormat="1" ht="18" customHeight="1">
      <c r="B17" s="5"/>
      <c r="C17" s="5"/>
      <c r="D17" s="120"/>
      <c r="E17" s="5"/>
      <c r="F17" s="99"/>
      <c r="G17" s="10"/>
      <c r="H17" s="10"/>
    </row>
    <row r="18" spans="1:8" s="6" customFormat="1" ht="18" customHeight="1">
      <c r="A18" s="7" t="s">
        <v>59</v>
      </c>
      <c r="B18" s="5"/>
      <c r="C18" s="5"/>
      <c r="D18" s="120"/>
      <c r="E18" s="5"/>
      <c r="F18" s="99"/>
      <c r="G18" s="10"/>
      <c r="H18" s="10"/>
    </row>
    <row r="19" spans="1:8" s="6" customFormat="1" ht="18" customHeight="1">
      <c r="A19" s="6" t="s">
        <v>60</v>
      </c>
      <c r="B19" s="9" t="s">
        <v>63</v>
      </c>
      <c r="C19" s="5"/>
      <c r="D19" s="99">
        <v>1181390</v>
      </c>
      <c r="E19" s="5"/>
      <c r="F19" s="99">
        <f>1523266-53000</f>
        <v>1470266</v>
      </c>
      <c r="G19" s="10"/>
      <c r="H19" s="99"/>
    </row>
    <row r="20" spans="1:8" s="6" customFormat="1" ht="18" customHeight="1">
      <c r="A20" s="6" t="s">
        <v>61</v>
      </c>
      <c r="B20" s="80" t="s">
        <v>64</v>
      </c>
      <c r="D20" s="102">
        <v>29000</v>
      </c>
      <c r="F20" s="102">
        <v>29000</v>
      </c>
      <c r="G20" s="10"/>
      <c r="H20" s="99"/>
    </row>
    <row r="21" spans="4:8" s="6" customFormat="1" ht="18" customHeight="1">
      <c r="D21" s="11"/>
      <c r="F21" s="11"/>
      <c r="G21" s="10"/>
      <c r="H21" s="10"/>
    </row>
    <row r="22" spans="1:8" s="6" customFormat="1" ht="18" customHeight="1">
      <c r="A22" s="12"/>
      <c r="B22" s="12"/>
      <c r="C22" s="12"/>
      <c r="D22" s="13"/>
      <c r="E22" s="12"/>
      <c r="F22" s="13"/>
      <c r="G22" s="10"/>
      <c r="H22" s="10"/>
    </row>
    <row r="23" spans="1:8" s="6" customFormat="1" ht="18" customHeight="1">
      <c r="A23" s="15"/>
      <c r="B23" s="15"/>
      <c r="C23" s="16" t="s">
        <v>253</v>
      </c>
      <c r="D23" s="16">
        <f>SUM(D19:D21)</f>
        <v>1210390</v>
      </c>
      <c r="E23" s="16">
        <f>SUM(E19:E21)</f>
        <v>0</v>
      </c>
      <c r="F23" s="16">
        <f>SUM(F19:F21)</f>
        <v>1499266</v>
      </c>
      <c r="G23" s="14"/>
      <c r="H23" s="14"/>
    </row>
    <row r="24" spans="1:8" s="6" customFormat="1" ht="18" customHeight="1" thickBot="1">
      <c r="A24" s="17" t="s">
        <v>65</v>
      </c>
      <c r="B24" s="17"/>
      <c r="C24" s="17"/>
      <c r="D24" s="143">
        <f>SUM(D23,D16)</f>
        <v>6470811.73</v>
      </c>
      <c r="E24" s="18">
        <f>SUM(E23,E16)</f>
        <v>0</v>
      </c>
      <c r="F24" s="18">
        <f>SUM(F23,F16)</f>
        <v>6895622.79</v>
      </c>
      <c r="G24" s="14"/>
      <c r="H24" s="14"/>
    </row>
    <row r="25" spans="1:8" s="6" customFormat="1" ht="18" customHeight="1">
      <c r="A25" s="7"/>
      <c r="B25" s="8"/>
      <c r="C25" s="8"/>
      <c r="D25" s="121"/>
      <c r="E25" s="8"/>
      <c r="F25" s="8"/>
      <c r="G25" s="8"/>
      <c r="H25" s="8"/>
    </row>
    <row r="26" spans="4:8" s="6" customFormat="1" ht="18" customHeight="1">
      <c r="D26" s="122"/>
      <c r="G26" s="5"/>
      <c r="H26" s="5"/>
    </row>
    <row r="27" spans="1:8" s="6" customFormat="1" ht="18" customHeight="1">
      <c r="A27" s="7" t="s">
        <v>66</v>
      </c>
      <c r="B27" s="8"/>
      <c r="C27" s="8"/>
      <c r="D27" s="121"/>
      <c r="E27" s="8"/>
      <c r="F27" s="19"/>
      <c r="G27" s="19"/>
      <c r="H27" s="19"/>
    </row>
    <row r="28" spans="2:8" s="6" customFormat="1" ht="18" customHeight="1">
      <c r="B28" s="5"/>
      <c r="C28" s="5"/>
      <c r="D28" s="120"/>
      <c r="E28" s="5"/>
      <c r="F28" s="5"/>
      <c r="G28" s="5"/>
      <c r="H28" s="5"/>
    </row>
    <row r="29" spans="1:8" s="6" customFormat="1" ht="18" customHeight="1">
      <c r="A29" s="7" t="s">
        <v>67</v>
      </c>
      <c r="B29" s="5"/>
      <c r="C29" s="5"/>
      <c r="D29" s="120"/>
      <c r="E29" s="5"/>
      <c r="F29" s="5"/>
      <c r="G29" s="5"/>
      <c r="H29" s="120"/>
    </row>
    <row r="30" spans="1:8" s="6" customFormat="1" ht="18" customHeight="1">
      <c r="A30" s="7" t="s">
        <v>68</v>
      </c>
      <c r="B30" s="5"/>
      <c r="C30" s="5"/>
      <c r="D30" s="120"/>
      <c r="E30" s="5"/>
      <c r="F30" s="5"/>
      <c r="G30" s="5"/>
      <c r="H30" s="120"/>
    </row>
    <row r="31" spans="1:8" s="6" customFormat="1" ht="18" customHeight="1">
      <c r="A31" s="89" t="s">
        <v>120</v>
      </c>
      <c r="B31" s="82" t="s">
        <v>72</v>
      </c>
      <c r="C31" s="5"/>
      <c r="D31" s="97">
        <v>418042.39</v>
      </c>
      <c r="E31" s="5"/>
      <c r="F31" s="97">
        <f>212958.97+127944.49+46612.88</f>
        <v>387516.34</v>
      </c>
      <c r="G31" s="10"/>
      <c r="H31" s="142"/>
    </row>
    <row r="32" spans="1:8" s="6" customFormat="1" ht="18" customHeight="1">
      <c r="A32" s="6" t="s">
        <v>69</v>
      </c>
      <c r="B32" s="82" t="s">
        <v>74</v>
      </c>
      <c r="C32" s="5"/>
      <c r="D32" s="10">
        <v>1363282.04</v>
      </c>
      <c r="E32" s="5"/>
      <c r="F32" s="10">
        <v>1200656.02</v>
      </c>
      <c r="G32" s="10"/>
      <c r="H32" s="99"/>
    </row>
    <row r="33" spans="1:8" s="6" customFormat="1" ht="18" customHeight="1">
      <c r="A33" s="12"/>
      <c r="B33" s="12"/>
      <c r="C33" s="12"/>
      <c r="D33" s="13"/>
      <c r="E33" s="12"/>
      <c r="F33" s="13"/>
      <c r="G33" s="10"/>
      <c r="H33" s="99"/>
    </row>
    <row r="34" spans="2:8" s="6" customFormat="1" ht="18" customHeight="1">
      <c r="B34" s="5"/>
      <c r="C34" s="5"/>
      <c r="D34" s="14">
        <f>SUM(D31:D33)</f>
        <v>1781324.4300000002</v>
      </c>
      <c r="E34" s="5"/>
      <c r="F34" s="14">
        <f>SUM(F31:F33)</f>
        <v>1588172.36</v>
      </c>
      <c r="G34" s="14"/>
      <c r="H34" s="101"/>
    </row>
    <row r="35" spans="2:8" s="6" customFormat="1" ht="18" customHeight="1">
      <c r="B35" s="5"/>
      <c r="C35" s="5"/>
      <c r="D35" s="120"/>
      <c r="E35" s="5"/>
      <c r="F35" s="10"/>
      <c r="G35" s="10"/>
      <c r="H35" s="99"/>
    </row>
    <row r="36" spans="1:8" s="6" customFormat="1" ht="18" customHeight="1">
      <c r="A36" s="7"/>
      <c r="B36" s="5"/>
      <c r="C36" s="5"/>
      <c r="D36" s="120"/>
      <c r="E36" s="5"/>
      <c r="F36" s="10"/>
      <c r="G36" s="10"/>
      <c r="H36" s="99"/>
    </row>
    <row r="37" spans="1:8" s="6" customFormat="1" ht="18" customHeight="1">
      <c r="A37" s="20" t="s">
        <v>70</v>
      </c>
      <c r="B37" s="83" t="s">
        <v>76</v>
      </c>
      <c r="C37" s="12"/>
      <c r="D37" s="22">
        <v>173662.82</v>
      </c>
      <c r="E37" s="12"/>
      <c r="F37" s="22">
        <f>38737.9+88005.62+47419.3</f>
        <v>174162.82</v>
      </c>
      <c r="G37" s="14"/>
      <c r="H37" s="101"/>
    </row>
    <row r="38" spans="4:8" s="6" customFormat="1" ht="18" customHeight="1">
      <c r="D38" s="11" t="s">
        <v>253</v>
      </c>
      <c r="F38" s="11"/>
      <c r="G38" s="10"/>
      <c r="H38" s="99"/>
    </row>
    <row r="39" spans="1:8" s="6" customFormat="1" ht="18" customHeight="1">
      <c r="A39" s="7" t="s">
        <v>73</v>
      </c>
      <c r="D39" s="11"/>
      <c r="F39" s="11"/>
      <c r="G39" s="10"/>
      <c r="H39" s="99"/>
    </row>
    <row r="40" spans="1:8" s="6" customFormat="1" ht="18" customHeight="1">
      <c r="A40" s="6" t="s">
        <v>75</v>
      </c>
      <c r="B40" s="80" t="s">
        <v>82</v>
      </c>
      <c r="D40" s="74">
        <f>4478302.2+36000+490.98</f>
        <v>4514793.180000001</v>
      </c>
      <c r="F40" s="11">
        <v>5107256.31</v>
      </c>
      <c r="G40" s="10"/>
      <c r="H40" s="142"/>
    </row>
    <row r="41" spans="1:8" s="6" customFormat="1" ht="18" customHeight="1">
      <c r="A41" s="88" t="s">
        <v>162</v>
      </c>
      <c r="D41" s="123">
        <v>1031.3</v>
      </c>
      <c r="F41" s="11">
        <v>26031.3</v>
      </c>
      <c r="G41" s="10"/>
      <c r="H41" s="99"/>
    </row>
    <row r="42" spans="7:8" ht="14.25">
      <c r="G42" s="3"/>
      <c r="H42" s="144"/>
    </row>
    <row r="43" spans="1:8" s="6" customFormat="1" ht="18" customHeight="1">
      <c r="A43" s="12"/>
      <c r="B43" s="12"/>
      <c r="C43" s="12"/>
      <c r="D43" s="13"/>
      <c r="E43" s="12"/>
      <c r="F43" s="13"/>
      <c r="G43" s="10"/>
      <c r="H43" s="99"/>
    </row>
    <row r="44" spans="1:8" s="6" customFormat="1" ht="18" customHeight="1">
      <c r="A44" s="15"/>
      <c r="B44" s="15"/>
      <c r="C44" s="15"/>
      <c r="D44" s="16">
        <f>SUM(D40:D43)</f>
        <v>4515824.48</v>
      </c>
      <c r="E44" s="16">
        <f>SUM(E40:E43)</f>
        <v>0</v>
      </c>
      <c r="F44" s="16">
        <f>SUM(F40:F43)</f>
        <v>5133287.609999999</v>
      </c>
      <c r="G44" s="14"/>
      <c r="H44" s="101"/>
    </row>
    <row r="45" spans="1:8" s="6" customFormat="1" ht="18" customHeight="1" thickBot="1">
      <c r="A45" s="17" t="s">
        <v>77</v>
      </c>
      <c r="B45" s="17"/>
      <c r="C45" s="17"/>
      <c r="D45" s="143">
        <f>SUM(D34,D37,D44)</f>
        <v>6470811.73</v>
      </c>
      <c r="E45" s="18">
        <f>SUM(E34,E37,E44)</f>
        <v>0</v>
      </c>
      <c r="F45" s="18">
        <f>SUM(F34,F37,F44)</f>
        <v>6895622.789999999</v>
      </c>
      <c r="G45" s="14"/>
      <c r="H45" s="101"/>
    </row>
    <row r="46" spans="4:8" ht="14.25">
      <c r="D46" s="69" t="s">
        <v>253</v>
      </c>
      <c r="G46" s="3"/>
      <c r="H46" s="144"/>
    </row>
    <row r="47" spans="4:8" ht="14.25">
      <c r="D47" s="66"/>
      <c r="G47" s="3"/>
      <c r="H47" s="144"/>
    </row>
    <row r="48" spans="4:8" ht="14.25">
      <c r="D48" s="66"/>
      <c r="G48" s="3"/>
      <c r="H48" s="144"/>
    </row>
    <row r="49" spans="1:8" ht="15">
      <c r="A49" s="86" t="s">
        <v>78</v>
      </c>
      <c r="B49" s="24"/>
      <c r="C49" s="24"/>
      <c r="D49" s="86"/>
      <c r="E49" s="24"/>
      <c r="F49" s="24"/>
      <c r="G49" s="49"/>
      <c r="H49" s="49"/>
    </row>
    <row r="50" spans="1:8" ht="15">
      <c r="A50" s="24"/>
      <c r="B50" s="24"/>
      <c r="C50" s="24"/>
      <c r="D50" s="86"/>
      <c r="E50" s="24"/>
      <c r="F50" s="24"/>
      <c r="G50" s="49"/>
      <c r="H50" s="49"/>
    </row>
    <row r="51" spans="1:8" ht="15">
      <c r="A51" s="24"/>
      <c r="B51" s="24"/>
      <c r="C51" s="24"/>
      <c r="D51" s="86"/>
      <c r="E51" s="24"/>
      <c r="F51" s="24"/>
      <c r="G51" s="49"/>
      <c r="H51" s="49"/>
    </row>
    <row r="52" spans="1:8" ht="15">
      <c r="A52" s="24" t="s">
        <v>79</v>
      </c>
      <c r="B52" s="58" t="s">
        <v>49</v>
      </c>
      <c r="C52" s="24"/>
      <c r="D52" s="25" t="s">
        <v>252</v>
      </c>
      <c r="E52" s="24"/>
      <c r="F52" s="25" t="s">
        <v>212</v>
      </c>
      <c r="G52" s="48"/>
      <c r="H52" s="48"/>
    </row>
    <row r="53" spans="1:8" ht="14.25">
      <c r="A53" s="2" t="s">
        <v>41</v>
      </c>
      <c r="D53" s="84">
        <f>2636214.27+22900</f>
        <v>2659114.27</v>
      </c>
      <c r="F53" s="84">
        <f>2545660.96+155068.76</f>
        <v>2700729.7199999997</v>
      </c>
      <c r="G53" s="52"/>
      <c r="H53" s="72"/>
    </row>
    <row r="54" spans="1:8" s="6" customFormat="1" ht="14.25" customHeight="1">
      <c r="A54" s="6" t="s">
        <v>80</v>
      </c>
      <c r="B54" s="9"/>
      <c r="C54" s="5"/>
      <c r="D54" s="10">
        <v>-140371.05</v>
      </c>
      <c r="E54" s="5"/>
      <c r="F54" s="10">
        <v>-155068.76</v>
      </c>
      <c r="G54" s="10"/>
      <c r="H54" s="10"/>
    </row>
    <row r="55" spans="1:8" s="6" customFormat="1" ht="14.25" customHeight="1">
      <c r="A55" s="12" t="s">
        <v>42</v>
      </c>
      <c r="B55" s="21"/>
      <c r="C55" s="12"/>
      <c r="D55" s="13">
        <v>937697.89</v>
      </c>
      <c r="E55" s="12"/>
      <c r="F55" s="13">
        <v>881430.3</v>
      </c>
      <c r="G55" s="10"/>
      <c r="H55" s="10"/>
    </row>
    <row r="56" spans="1:8" ht="14.25" customHeight="1" thickBot="1">
      <c r="A56" s="29" t="s">
        <v>81</v>
      </c>
      <c r="B56" s="81" t="s">
        <v>86</v>
      </c>
      <c r="C56" s="30"/>
      <c r="D56" s="31">
        <f>D53+D54-D55</f>
        <v>1581045.33</v>
      </c>
      <c r="E56" s="170" t="s">
        <v>253</v>
      </c>
      <c r="F56" s="31">
        <f>SUM(F53,F54)-F55</f>
        <v>1664230.66</v>
      </c>
      <c r="G56" s="62"/>
      <c r="H56" s="145"/>
    </row>
    <row r="57" spans="2:8" ht="14.25">
      <c r="B57" s="27"/>
      <c r="D57" s="66"/>
      <c r="F57" s="26"/>
      <c r="G57" s="52"/>
      <c r="H57" s="71"/>
    </row>
    <row r="58" spans="2:8" ht="14.25">
      <c r="B58" s="27"/>
      <c r="D58" s="66"/>
      <c r="F58" s="26"/>
      <c r="G58" s="52"/>
      <c r="H58" s="71"/>
    </row>
    <row r="59" spans="1:8" ht="14.25">
      <c r="A59" s="2" t="s">
        <v>83</v>
      </c>
      <c r="B59" s="27"/>
      <c r="D59" s="26">
        <v>934855</v>
      </c>
      <c r="F59" s="26">
        <v>918827.8</v>
      </c>
      <c r="G59" s="52"/>
      <c r="H59" s="52"/>
    </row>
    <row r="60" spans="1:8" ht="14.25">
      <c r="A60" s="2" t="s">
        <v>84</v>
      </c>
      <c r="B60" s="64" t="s">
        <v>91</v>
      </c>
      <c r="D60" s="26">
        <v>4368086.6</v>
      </c>
      <c r="F60" s="26">
        <v>4383600.45</v>
      </c>
      <c r="G60" s="52"/>
      <c r="H60" s="52"/>
    </row>
    <row r="61" spans="1:8" ht="14.25">
      <c r="A61" s="32" t="s">
        <v>85</v>
      </c>
      <c r="B61" s="61" t="s">
        <v>95</v>
      </c>
      <c r="C61" s="32"/>
      <c r="D61" s="90">
        <f>4191997.61+36000</f>
        <v>4227997.609999999</v>
      </c>
      <c r="E61" s="32"/>
      <c r="F61" s="90">
        <v>3164328.25</v>
      </c>
      <c r="G61" s="52"/>
      <c r="H61" s="146"/>
    </row>
    <row r="62" spans="1:8" ht="15">
      <c r="A62" s="35" t="s">
        <v>87</v>
      </c>
      <c r="B62" s="37"/>
      <c r="C62" s="35"/>
      <c r="D62" s="36">
        <f>SUM(D59:D61)</f>
        <v>9530939.209999999</v>
      </c>
      <c r="E62" s="35"/>
      <c r="F62" s="36">
        <f>SUM(F59:F61)</f>
        <v>8466756.5</v>
      </c>
      <c r="G62" s="62"/>
      <c r="H62" s="145"/>
    </row>
    <row r="63" spans="1:8" ht="15.75" thickBot="1">
      <c r="A63" s="29" t="s">
        <v>88</v>
      </c>
      <c r="B63" s="38"/>
      <c r="C63" s="29"/>
      <c r="D63" s="31">
        <f>SUM(D62,D56)</f>
        <v>11111984.54</v>
      </c>
      <c r="E63" s="31" t="s">
        <v>253</v>
      </c>
      <c r="F63" s="31">
        <f>SUM(F62,F56)</f>
        <v>10130987.16</v>
      </c>
      <c r="G63" s="62"/>
      <c r="H63" s="145"/>
    </row>
    <row r="64" spans="2:8" ht="14.25">
      <c r="B64" s="27"/>
      <c r="D64" s="66"/>
      <c r="F64" s="26"/>
      <c r="G64" s="26"/>
      <c r="H64" s="67"/>
    </row>
    <row r="65" spans="2:8" ht="14.25">
      <c r="B65" s="27"/>
      <c r="D65" s="66"/>
      <c r="F65" s="26"/>
      <c r="G65" s="26"/>
      <c r="H65" s="67"/>
    </row>
    <row r="66" spans="1:8" ht="15">
      <c r="A66" s="24" t="s">
        <v>89</v>
      </c>
      <c r="B66" s="27"/>
      <c r="D66" s="66"/>
      <c r="F66" s="26"/>
      <c r="G66" s="26"/>
      <c r="H66" s="71"/>
    </row>
    <row r="67" spans="1:8" ht="14.25">
      <c r="A67" s="2" t="s">
        <v>90</v>
      </c>
      <c r="B67" s="64" t="s">
        <v>24</v>
      </c>
      <c r="D67" s="26">
        <v>7826794.06</v>
      </c>
      <c r="F67" s="26">
        <v>7065481.24</v>
      </c>
      <c r="G67" s="26"/>
      <c r="H67" s="71"/>
    </row>
    <row r="68" spans="1:8" ht="14.25">
      <c r="A68" s="2" t="s">
        <v>37</v>
      </c>
      <c r="B68" s="27"/>
      <c r="D68" s="26">
        <v>397861.58</v>
      </c>
      <c r="F68" s="26">
        <v>394560</v>
      </c>
      <c r="G68" s="26"/>
      <c r="H68" s="71"/>
    </row>
    <row r="69" spans="1:8" ht="14.25">
      <c r="A69" s="2" t="s">
        <v>92</v>
      </c>
      <c r="B69" s="27"/>
      <c r="D69" s="65">
        <v>20975.32</v>
      </c>
      <c r="F69" s="65">
        <f>6812.82+7327.8</f>
        <v>14140.619999999999</v>
      </c>
      <c r="G69" s="26"/>
      <c r="H69" s="72"/>
    </row>
    <row r="70" spans="1:8" ht="14.25">
      <c r="A70" s="2" t="s">
        <v>93</v>
      </c>
      <c r="B70" s="135" t="s">
        <v>25</v>
      </c>
      <c r="C70" s="54"/>
      <c r="D70" s="125">
        <v>28286.05</v>
      </c>
      <c r="E70" s="54"/>
      <c r="F70" s="125">
        <v>-14959.7</v>
      </c>
      <c r="G70" s="79"/>
      <c r="H70" s="146"/>
    </row>
    <row r="71" spans="1:8" ht="14.25">
      <c r="A71" s="2" t="s">
        <v>94</v>
      </c>
      <c r="B71" s="27"/>
      <c r="D71" s="26">
        <v>820310.23</v>
      </c>
      <c r="F71" s="26">
        <v>835944.55</v>
      </c>
      <c r="G71" s="26"/>
      <c r="H71" s="71"/>
    </row>
    <row r="72" spans="1:8" ht="14.25">
      <c r="A72" s="2" t="s">
        <v>43</v>
      </c>
      <c r="B72" s="64" t="s">
        <v>26</v>
      </c>
      <c r="D72" s="26">
        <v>132875.33</v>
      </c>
      <c r="F72" s="26">
        <v>118117</v>
      </c>
      <c r="G72" s="26"/>
      <c r="H72" s="71"/>
    </row>
    <row r="73" spans="1:8" ht="14.25">
      <c r="A73" s="2" t="s">
        <v>19</v>
      </c>
      <c r="B73" s="27"/>
      <c r="D73" s="26">
        <v>179915.03</v>
      </c>
      <c r="F73" s="26">
        <v>159705.17</v>
      </c>
      <c r="G73" s="52"/>
      <c r="H73" s="71"/>
    </row>
    <row r="74" spans="1:8" ht="14.25">
      <c r="A74" s="2" t="s">
        <v>20</v>
      </c>
      <c r="B74" s="133" t="s">
        <v>253</v>
      </c>
      <c r="C74" s="134"/>
      <c r="D74" s="147">
        <v>17318.9</v>
      </c>
      <c r="E74" s="148"/>
      <c r="F74" s="147">
        <v>7140.25</v>
      </c>
      <c r="G74" s="152"/>
      <c r="H74" s="149"/>
    </row>
    <row r="75" spans="1:8" ht="14.25">
      <c r="A75" s="2" t="s">
        <v>21</v>
      </c>
      <c r="B75" s="27"/>
      <c r="D75" s="26">
        <v>1882954.97</v>
      </c>
      <c r="F75" s="26">
        <v>1264382.95</v>
      </c>
      <c r="G75" s="52"/>
      <c r="H75" s="71"/>
    </row>
    <row r="76" spans="1:8" ht="14.25">
      <c r="A76" s="2" t="s">
        <v>22</v>
      </c>
      <c r="B76" s="64" t="s">
        <v>27</v>
      </c>
      <c r="D76" s="26">
        <v>99355.95</v>
      </c>
      <c r="F76" s="26">
        <v>97345.1</v>
      </c>
      <c r="G76" s="52"/>
      <c r="H76" s="71"/>
    </row>
    <row r="77" spans="1:8" ht="14.25">
      <c r="A77" s="2" t="s">
        <v>40</v>
      </c>
      <c r="B77" s="64" t="s">
        <v>28</v>
      </c>
      <c r="D77" s="26">
        <v>246150.18</v>
      </c>
      <c r="F77" s="26">
        <v>334412.09</v>
      </c>
      <c r="G77" s="52"/>
      <c r="H77" s="71"/>
    </row>
    <row r="78" spans="1:8" ht="14.25">
      <c r="A78" s="2" t="s">
        <v>23</v>
      </c>
      <c r="B78" s="64" t="s">
        <v>30</v>
      </c>
      <c r="D78" s="67">
        <v>905</v>
      </c>
      <c r="F78" s="67">
        <v>1205.25</v>
      </c>
      <c r="G78" s="52"/>
      <c r="H78" s="71"/>
    </row>
    <row r="79" spans="1:8" ht="15">
      <c r="A79" s="35" t="s">
        <v>96</v>
      </c>
      <c r="B79" s="37"/>
      <c r="C79" s="35"/>
      <c r="D79" s="36">
        <f>SUM(D67:D78)</f>
        <v>11653702.6</v>
      </c>
      <c r="E79" s="36" t="s">
        <v>253</v>
      </c>
      <c r="F79" s="36">
        <f>SUM(F67:F78)</f>
        <v>10277474.52</v>
      </c>
      <c r="G79" s="62"/>
      <c r="H79" s="145"/>
    </row>
    <row r="80" spans="1:8" ht="15.75" thickBot="1">
      <c r="A80" s="29" t="s">
        <v>97</v>
      </c>
      <c r="B80" s="38"/>
      <c r="C80" s="29"/>
      <c r="D80" s="31">
        <f>SUM(D63-D79)</f>
        <v>-541718.0600000005</v>
      </c>
      <c r="E80" s="31" t="s">
        <v>253</v>
      </c>
      <c r="F80" s="31">
        <f>SUM(F63-F79)</f>
        <v>-146487.3599999994</v>
      </c>
      <c r="G80" s="62"/>
      <c r="H80" s="145"/>
    </row>
    <row r="81" spans="2:8" ht="14.25">
      <c r="B81" s="27"/>
      <c r="D81" s="66"/>
      <c r="E81" s="63" t="s">
        <v>253</v>
      </c>
      <c r="F81" s="26"/>
      <c r="G81" s="52"/>
      <c r="H81" s="71"/>
    </row>
    <row r="82" spans="2:8" ht="14.25">
      <c r="B82" s="27"/>
      <c r="D82" s="66"/>
      <c r="E82" s="63" t="s">
        <v>253</v>
      </c>
      <c r="F82" s="26"/>
      <c r="G82" s="52"/>
      <c r="H82" s="71"/>
    </row>
    <row r="83" spans="1:8" ht="14.25">
      <c r="A83" s="2" t="s">
        <v>98</v>
      </c>
      <c r="B83" s="64" t="s">
        <v>31</v>
      </c>
      <c r="D83" s="67">
        <v>-7039.17</v>
      </c>
      <c r="E83" s="63" t="s">
        <v>253</v>
      </c>
      <c r="F83" s="67">
        <v>-3399.51</v>
      </c>
      <c r="G83" s="52"/>
      <c r="H83" s="71"/>
    </row>
    <row r="84" spans="1:8" ht="14.25">
      <c r="A84" s="2" t="s">
        <v>29</v>
      </c>
      <c r="B84" s="64" t="s">
        <v>111</v>
      </c>
      <c r="D84" s="67">
        <v>-68705.9</v>
      </c>
      <c r="E84" s="63" t="s">
        <v>253</v>
      </c>
      <c r="F84" s="26">
        <v>-126703.83</v>
      </c>
      <c r="G84" s="52"/>
      <c r="H84" s="71"/>
    </row>
    <row r="85" spans="1:8" ht="15.75" thickBot="1">
      <c r="A85" s="29" t="s">
        <v>99</v>
      </c>
      <c r="B85" s="38"/>
      <c r="C85" s="29"/>
      <c r="D85" s="68">
        <f>SUM(D80,D83,D84)</f>
        <v>-617463.1300000006</v>
      </c>
      <c r="E85" s="68" t="s">
        <v>253</v>
      </c>
      <c r="F85" s="68">
        <f>SUM(F80,F83,F84)</f>
        <v>-276590.69999999943</v>
      </c>
      <c r="G85" s="145" t="s">
        <v>253</v>
      </c>
      <c r="H85" s="145"/>
    </row>
    <row r="86" spans="1:8" ht="15">
      <c r="A86" s="24"/>
      <c r="B86" s="27"/>
      <c r="D86" s="66"/>
      <c r="E86" s="63" t="s">
        <v>253</v>
      </c>
      <c r="F86" s="26"/>
      <c r="G86" s="52"/>
      <c r="H86" s="71"/>
    </row>
    <row r="87" spans="1:8" ht="15">
      <c r="A87" s="24" t="s">
        <v>100</v>
      </c>
      <c r="B87" s="64" t="s">
        <v>150</v>
      </c>
      <c r="D87" s="66"/>
      <c r="E87" s="63" t="s">
        <v>253</v>
      </c>
      <c r="F87" s="26"/>
      <c r="G87" s="52"/>
      <c r="H87" s="71"/>
    </row>
    <row r="88" spans="1:8" ht="14.25">
      <c r="A88" s="63" t="s">
        <v>167</v>
      </c>
      <c r="B88" s="27"/>
      <c r="D88" s="26">
        <v>0</v>
      </c>
      <c r="E88" s="63" t="s">
        <v>253</v>
      </c>
      <c r="F88" s="26">
        <v>0</v>
      </c>
      <c r="G88" s="52"/>
      <c r="H88" s="71"/>
    </row>
    <row r="89" spans="1:8" ht="15.75" thickBot="1">
      <c r="A89" s="75" t="s">
        <v>141</v>
      </c>
      <c r="B89" s="38"/>
      <c r="C89" s="29" t="s">
        <v>253</v>
      </c>
      <c r="D89" s="31">
        <f>SUM(D85,D88:D88)</f>
        <v>-617463.1300000006</v>
      </c>
      <c r="E89" s="31" t="s">
        <v>253</v>
      </c>
      <c r="F89" s="31">
        <f>SUM(F85,F88:F88)</f>
        <v>-276590.69999999943</v>
      </c>
      <c r="G89" s="62"/>
      <c r="H89" s="145"/>
    </row>
    <row r="90" spans="1:8" ht="14.25">
      <c r="A90" s="54"/>
      <c r="B90" s="27"/>
      <c r="D90" s="26"/>
      <c r="E90" s="65" t="s">
        <v>253</v>
      </c>
      <c r="F90" s="26"/>
      <c r="G90" s="52"/>
      <c r="H90" s="71"/>
    </row>
    <row r="91" spans="1:8" ht="15">
      <c r="A91" s="76" t="s">
        <v>38</v>
      </c>
      <c r="B91" s="27"/>
      <c r="D91" s="26"/>
      <c r="E91" s="65" t="s">
        <v>253</v>
      </c>
      <c r="F91" s="26"/>
      <c r="G91" s="52"/>
      <c r="H91" s="71"/>
    </row>
    <row r="92" spans="1:8" ht="14.25">
      <c r="A92" s="54" t="s">
        <v>207</v>
      </c>
      <c r="B92" s="27"/>
      <c r="D92" s="67">
        <v>25000</v>
      </c>
      <c r="E92" s="84" t="s">
        <v>253</v>
      </c>
      <c r="F92" s="67">
        <v>25000</v>
      </c>
      <c r="G92" s="52"/>
      <c r="H92" s="71"/>
    </row>
    <row r="93" spans="1:8" ht="14.25">
      <c r="A93" s="54"/>
      <c r="B93" s="27"/>
      <c r="D93" s="67"/>
      <c r="E93" s="84" t="s">
        <v>253</v>
      </c>
      <c r="F93" s="67"/>
      <c r="G93" s="52"/>
      <c r="H93" s="71"/>
    </row>
    <row r="94" spans="1:8" ht="14.25">
      <c r="A94" s="77" t="s">
        <v>75</v>
      </c>
      <c r="B94" s="33"/>
      <c r="C94" s="32"/>
      <c r="D94" s="73">
        <f>592463.13</f>
        <v>592463.13</v>
      </c>
      <c r="E94" s="172" t="s">
        <v>253</v>
      </c>
      <c r="F94" s="73">
        <v>251590.7</v>
      </c>
      <c r="G94" s="52"/>
      <c r="H94" s="71"/>
    </row>
    <row r="95" spans="1:8" ht="15.75" thickBot="1">
      <c r="A95" s="75"/>
      <c r="B95" s="38"/>
      <c r="C95" s="68" t="s">
        <v>253</v>
      </c>
      <c r="D95" s="68">
        <f>SUM(D89,D92:D94)</f>
        <v>0</v>
      </c>
      <c r="E95" s="68" t="s">
        <v>253</v>
      </c>
      <c r="F95" s="68">
        <f>SUM(F89,F92:F94)</f>
        <v>5.820766091346741E-10</v>
      </c>
      <c r="G95" s="145" t="s">
        <v>253</v>
      </c>
      <c r="H95" s="145"/>
    </row>
    <row r="96" spans="2:8" ht="14.25">
      <c r="B96" s="27"/>
      <c r="D96" s="66"/>
      <c r="F96" s="26"/>
      <c r="G96" s="52"/>
      <c r="H96" s="71"/>
    </row>
    <row r="97" spans="2:8" ht="14.25">
      <c r="B97" s="27"/>
      <c r="D97" s="66"/>
      <c r="F97" s="26"/>
      <c r="G97" s="52"/>
      <c r="H97" s="26"/>
    </row>
    <row r="98" spans="2:8" ht="14.25">
      <c r="B98" s="27"/>
      <c r="D98" s="66"/>
      <c r="F98" s="26"/>
      <c r="G98" s="52"/>
      <c r="H98" s="26"/>
    </row>
    <row r="99" spans="2:8" ht="14.25">
      <c r="B99" s="27"/>
      <c r="D99" s="66"/>
      <c r="F99" s="26"/>
      <c r="G99" s="52"/>
      <c r="H99" s="26"/>
    </row>
    <row r="100" spans="1:7" ht="15">
      <c r="A100" s="86" t="s">
        <v>101</v>
      </c>
      <c r="B100" s="27"/>
      <c r="D100" s="66"/>
      <c r="G100" s="3"/>
    </row>
    <row r="101" spans="2:7" ht="14.25">
      <c r="B101" s="27"/>
      <c r="D101" s="66"/>
      <c r="G101" s="3"/>
    </row>
    <row r="102" spans="1:8" ht="15">
      <c r="A102" s="86" t="s">
        <v>102</v>
      </c>
      <c r="B102" s="27"/>
      <c r="D102" s="66"/>
      <c r="G102" s="3"/>
      <c r="H102" s="144"/>
    </row>
    <row r="103" spans="2:8" ht="15">
      <c r="B103" s="27"/>
      <c r="D103" s="119" t="s">
        <v>252</v>
      </c>
      <c r="F103" s="25" t="s">
        <v>212</v>
      </c>
      <c r="G103" s="48"/>
      <c r="H103" s="150"/>
    </row>
    <row r="104" spans="1:8" ht="14.25">
      <c r="A104" s="63" t="s">
        <v>186</v>
      </c>
      <c r="B104" s="27"/>
      <c r="D104" s="84">
        <f>D89</f>
        <v>-617463.1300000006</v>
      </c>
      <c r="E104" s="84" t="str">
        <f>E89</f>
        <v> </v>
      </c>
      <c r="F104" s="84">
        <f>F89</f>
        <v>-276590.69999999943</v>
      </c>
      <c r="G104" s="71"/>
      <c r="H104" s="72"/>
    </row>
    <row r="105" spans="1:8" ht="14.25">
      <c r="A105" s="63" t="s">
        <v>166</v>
      </c>
      <c r="B105" s="27"/>
      <c r="D105" s="84">
        <v>0</v>
      </c>
      <c r="E105" s="84">
        <v>0</v>
      </c>
      <c r="F105" s="84">
        <v>0</v>
      </c>
      <c r="G105" s="71"/>
      <c r="H105" s="72"/>
    </row>
    <row r="106" spans="1:8" ht="14.25">
      <c r="A106" s="2" t="s">
        <v>32</v>
      </c>
      <c r="B106" s="27"/>
      <c r="D106" s="67">
        <f>B290+D290</f>
        <v>246150.18</v>
      </c>
      <c r="E106" s="67">
        <v>334412.09</v>
      </c>
      <c r="F106" s="67">
        <v>334412.09</v>
      </c>
      <c r="G106" s="71"/>
      <c r="H106" s="71"/>
    </row>
    <row r="107" spans="1:8" ht="14.25">
      <c r="A107" s="2" t="s">
        <v>33</v>
      </c>
      <c r="B107" s="27"/>
      <c r="D107" s="67">
        <f>F290</f>
        <v>145273</v>
      </c>
      <c r="F107" s="67">
        <v>144802.55</v>
      </c>
      <c r="G107" s="71"/>
      <c r="H107" s="71"/>
    </row>
    <row r="108" spans="2:8" ht="14.25">
      <c r="B108" s="27"/>
      <c r="D108" s="66"/>
      <c r="F108" s="67"/>
      <c r="G108" s="71"/>
      <c r="H108" s="71"/>
    </row>
    <row r="109" spans="2:10" ht="14.25">
      <c r="B109" s="27"/>
      <c r="D109" s="66"/>
      <c r="F109" s="67"/>
      <c r="G109" s="71"/>
      <c r="H109" s="71"/>
      <c r="J109" s="63"/>
    </row>
    <row r="110" spans="1:10" ht="14.25">
      <c r="A110" s="54" t="s">
        <v>289</v>
      </c>
      <c r="B110" s="27"/>
      <c r="D110" s="67">
        <f>-(D12-F12)</f>
        <v>-256245.33000000007</v>
      </c>
      <c r="F110" s="67">
        <v>-43202.79</v>
      </c>
      <c r="G110" s="71"/>
      <c r="H110" s="71"/>
      <c r="J110" s="63"/>
    </row>
    <row r="111" spans="1:8" ht="14.25">
      <c r="A111" s="54" t="s">
        <v>284</v>
      </c>
      <c r="B111" s="27"/>
      <c r="D111" s="67">
        <f>-D13+F13</f>
        <v>-6025</v>
      </c>
      <c r="F111" s="67">
        <v>4852.34</v>
      </c>
      <c r="G111" s="71"/>
      <c r="H111" s="71"/>
    </row>
    <row r="112" spans="1:8" ht="14.25">
      <c r="A112" s="54" t="s">
        <v>288</v>
      </c>
      <c r="B112" s="27"/>
      <c r="D112" s="67">
        <f>-D14+F14</f>
        <v>37134.51000000001</v>
      </c>
      <c r="F112" s="67">
        <v>134598.91</v>
      </c>
      <c r="G112" s="71"/>
      <c r="H112" s="71"/>
    </row>
    <row r="113" spans="1:8" ht="14.25">
      <c r="A113" s="54" t="s">
        <v>290</v>
      </c>
      <c r="B113" s="27"/>
      <c r="D113" s="67">
        <f>D31-F31</f>
        <v>30526.04999999999</v>
      </c>
      <c r="F113" s="67">
        <v>-52294.99</v>
      </c>
      <c r="G113" s="71"/>
      <c r="H113" s="71"/>
    </row>
    <row r="114" spans="1:8" ht="14.25">
      <c r="A114" s="54" t="s">
        <v>286</v>
      </c>
      <c r="B114" s="27"/>
      <c r="D114" s="67">
        <f>D32-F32</f>
        <v>162626.02000000002</v>
      </c>
      <c r="F114" s="67">
        <v>25426.66</v>
      </c>
      <c r="G114" s="71"/>
      <c r="H114" s="71"/>
    </row>
    <row r="115" spans="1:8" ht="15.75" thickBot="1">
      <c r="A115" s="29" t="s">
        <v>102</v>
      </c>
      <c r="B115" s="38"/>
      <c r="C115" s="29" t="s">
        <v>253</v>
      </c>
      <c r="D115" s="68">
        <f>SUM(D104:D107,D110:D114)</f>
        <v>-258023.70000000065</v>
      </c>
      <c r="E115" s="68">
        <f>SUM(E104:E107,E110:E114)</f>
        <v>334412.09</v>
      </c>
      <c r="F115" s="68">
        <f>SUM(F104:F107,F110:F114)</f>
        <v>272004.0700000006</v>
      </c>
      <c r="G115" s="145"/>
      <c r="H115" s="145"/>
    </row>
    <row r="116" spans="2:8" ht="14.25">
      <c r="B116" s="27"/>
      <c r="D116" s="66"/>
      <c r="F116" s="67"/>
      <c r="G116" s="71"/>
      <c r="H116" s="71"/>
    </row>
    <row r="117" spans="2:8" ht="14.25">
      <c r="B117" s="27"/>
      <c r="D117" s="66"/>
      <c r="F117" s="67"/>
      <c r="G117" s="71"/>
      <c r="H117" s="71"/>
    </row>
    <row r="118" spans="1:8" ht="15">
      <c r="A118" s="24" t="s">
        <v>103</v>
      </c>
      <c r="B118" s="27"/>
      <c r="D118" s="66"/>
      <c r="F118" s="67"/>
      <c r="G118" s="71"/>
      <c r="H118" s="71"/>
    </row>
    <row r="119" spans="1:8" ht="12.75" customHeight="1">
      <c r="A119" s="24"/>
      <c r="B119" s="27"/>
      <c r="D119" s="66"/>
      <c r="F119" s="67"/>
      <c r="G119" s="71"/>
      <c r="H119" s="71"/>
    </row>
    <row r="120" spans="1:8" ht="14.25">
      <c r="A120" s="63" t="s">
        <v>34</v>
      </c>
      <c r="B120" s="27"/>
      <c r="D120" s="67">
        <f>-B285-D285</f>
        <v>-102547.17999999998</v>
      </c>
      <c r="F120" s="67">
        <v>-138414.09</v>
      </c>
      <c r="G120" s="71"/>
      <c r="H120" s="71"/>
    </row>
    <row r="121" spans="1:8" ht="14.25">
      <c r="A121" s="69" t="s">
        <v>238</v>
      </c>
      <c r="B121" s="27"/>
      <c r="D121" s="67">
        <v>0</v>
      </c>
      <c r="F121" s="67">
        <v>-66061.55</v>
      </c>
      <c r="G121" s="71"/>
      <c r="H121" s="71"/>
    </row>
    <row r="122" spans="1:8" ht="14.25">
      <c r="A122" s="69" t="s">
        <v>210</v>
      </c>
      <c r="B122" s="112"/>
      <c r="C122" s="66"/>
      <c r="D122" s="67">
        <v>0</v>
      </c>
      <c r="E122" s="66"/>
      <c r="F122" s="67">
        <v>0</v>
      </c>
      <c r="G122" s="71"/>
      <c r="H122" s="71"/>
    </row>
    <row r="123" spans="1:8" ht="14.25">
      <c r="A123" s="54" t="s">
        <v>142</v>
      </c>
      <c r="B123" s="27"/>
      <c r="D123" s="67">
        <v>-500</v>
      </c>
      <c r="F123" s="67">
        <v>0</v>
      </c>
      <c r="G123" s="71"/>
      <c r="H123" s="71"/>
    </row>
    <row r="124" spans="1:8" ht="15.75" thickBot="1">
      <c r="A124" s="29" t="s">
        <v>103</v>
      </c>
      <c r="B124" s="38"/>
      <c r="C124" s="29" t="s">
        <v>253</v>
      </c>
      <c r="D124" s="68">
        <f>SUM(D120:D123)</f>
        <v>-103047.17999999998</v>
      </c>
      <c r="E124" s="29"/>
      <c r="F124" s="68">
        <f>SUM(F120:F123)</f>
        <v>-204475.64</v>
      </c>
      <c r="G124" s="145"/>
      <c r="H124" s="145"/>
    </row>
    <row r="125" spans="2:8" ht="14.25">
      <c r="B125" s="27"/>
      <c r="D125" s="66"/>
      <c r="F125" s="67"/>
      <c r="G125" s="71"/>
      <c r="H125" s="71"/>
    </row>
    <row r="126" spans="4:8" ht="14.25">
      <c r="D126" s="129" t="s">
        <v>253</v>
      </c>
      <c r="E126" s="130"/>
      <c r="F126" s="131"/>
      <c r="G126" s="151"/>
      <c r="H126" s="151"/>
    </row>
    <row r="127" spans="1:8" ht="15">
      <c r="A127" s="24" t="s">
        <v>254</v>
      </c>
      <c r="B127" s="27"/>
      <c r="D127" s="129"/>
      <c r="E127" s="129"/>
      <c r="F127" s="129"/>
      <c r="G127" s="153">
        <f>G131-G126</f>
        <v>0</v>
      </c>
      <c r="H127" s="71"/>
    </row>
    <row r="128" spans="1:8" ht="15">
      <c r="A128" s="24"/>
      <c r="B128" s="27"/>
      <c r="D128" s="66"/>
      <c r="F128" s="67"/>
      <c r="G128" s="52"/>
      <c r="H128" s="71"/>
    </row>
    <row r="129" spans="1:8" ht="14.25">
      <c r="A129" s="2" t="s">
        <v>104</v>
      </c>
      <c r="B129" s="27"/>
      <c r="D129" s="67">
        <f>F130</f>
        <v>4308896.21</v>
      </c>
      <c r="F129" s="67">
        <v>4241367.78</v>
      </c>
      <c r="G129" s="52"/>
      <c r="H129" s="71"/>
    </row>
    <row r="130" spans="1:8" ht="14.25">
      <c r="A130" s="2" t="s">
        <v>105</v>
      </c>
      <c r="B130" s="27"/>
      <c r="D130" s="67">
        <f>D11</f>
        <v>3947825.33</v>
      </c>
      <c r="F130" s="67">
        <f>F11</f>
        <v>4308896.21</v>
      </c>
      <c r="G130" s="52"/>
      <c r="H130" s="71"/>
    </row>
    <row r="131" spans="1:8" ht="15.75" thickBot="1">
      <c r="A131" s="29" t="s">
        <v>106</v>
      </c>
      <c r="B131" s="38"/>
      <c r="C131" s="29" t="s">
        <v>253</v>
      </c>
      <c r="D131" s="68">
        <f>D130-D129</f>
        <v>-361070.8799999999</v>
      </c>
      <c r="E131" s="68">
        <f>E130-E129</f>
        <v>0</v>
      </c>
      <c r="F131" s="68">
        <f>F130-F129</f>
        <v>67528.4299999997</v>
      </c>
      <c r="G131" s="62"/>
      <c r="H131" s="145"/>
    </row>
    <row r="132" ht="9" customHeight="1">
      <c r="H132" s="67"/>
    </row>
    <row r="133" spans="1:6" ht="63" customHeight="1">
      <c r="A133" s="173" t="s">
        <v>147</v>
      </c>
      <c r="B133" s="173"/>
      <c r="C133" s="173"/>
      <c r="D133" s="173"/>
      <c r="E133" s="173"/>
      <c r="F133" s="173"/>
    </row>
    <row r="134" spans="1:6" ht="65.25" customHeight="1">
      <c r="A134" s="173" t="s">
        <v>260</v>
      </c>
      <c r="B134" s="173"/>
      <c r="C134" s="173"/>
      <c r="D134" s="173"/>
      <c r="E134" s="173"/>
      <c r="F134" s="173"/>
    </row>
    <row r="135" spans="1:6" ht="14.25">
      <c r="A135" s="173" t="s">
        <v>113</v>
      </c>
      <c r="B135" s="173"/>
      <c r="C135" s="173"/>
      <c r="D135" s="173"/>
      <c r="E135" s="173"/>
      <c r="F135" s="173"/>
    </row>
    <row r="136" ht="14.25"/>
    <row r="137" ht="14.25"/>
    <row r="138" spans="1:16" ht="15">
      <c r="A138" s="86" t="s">
        <v>282</v>
      </c>
      <c r="B138" s="63"/>
      <c r="C138" s="63"/>
      <c r="D138" s="63"/>
      <c r="E138" s="63"/>
      <c r="F138" s="63"/>
      <c r="G138" s="63"/>
      <c r="H138" s="63"/>
      <c r="I138" s="63"/>
      <c r="J138" s="63"/>
      <c r="K138" s="63"/>
      <c r="L138" s="63"/>
      <c r="M138" s="63"/>
      <c r="N138" s="63"/>
      <c r="O138" s="63"/>
      <c r="P138" s="63"/>
    </row>
    <row r="139" spans="1:16" ht="14.25">
      <c r="A139" s="63"/>
      <c r="B139" s="63"/>
      <c r="C139" s="63"/>
      <c r="D139" s="63"/>
      <c r="E139" s="63"/>
      <c r="F139" s="63"/>
      <c r="G139" s="63"/>
      <c r="H139" s="63"/>
      <c r="I139" s="63"/>
      <c r="J139" s="63"/>
      <c r="K139" s="63"/>
      <c r="L139" s="63"/>
      <c r="M139" s="63"/>
      <c r="N139" s="63"/>
      <c r="O139" s="63"/>
      <c r="P139" s="63"/>
    </row>
    <row r="140" spans="1:16" ht="15">
      <c r="A140" s="24"/>
      <c r="B140" s="24"/>
      <c r="C140" s="24"/>
      <c r="D140" s="25" t="s">
        <v>50</v>
      </c>
      <c r="E140" s="25"/>
      <c r="F140" s="25" t="s">
        <v>17</v>
      </c>
      <c r="G140" s="25"/>
      <c r="H140" s="25" t="s">
        <v>18</v>
      </c>
      <c r="I140" s="25"/>
      <c r="J140" s="25" t="s">
        <v>163</v>
      </c>
      <c r="K140" s="25"/>
      <c r="L140" s="25" t="s">
        <v>107</v>
      </c>
      <c r="M140" s="25"/>
      <c r="N140" s="25" t="s">
        <v>165</v>
      </c>
      <c r="O140" s="25"/>
      <c r="P140" s="25" t="s">
        <v>51</v>
      </c>
    </row>
    <row r="141" spans="1:16" ht="15">
      <c r="A141" s="24"/>
      <c r="B141" s="24"/>
      <c r="C141" s="24"/>
      <c r="D141" s="25"/>
      <c r="E141" s="25"/>
      <c r="F141" s="25"/>
      <c r="G141" s="25"/>
      <c r="H141" s="25"/>
      <c r="I141" s="25"/>
      <c r="J141" s="25" t="s">
        <v>164</v>
      </c>
      <c r="K141" s="25"/>
      <c r="L141" s="25"/>
      <c r="M141" s="25"/>
      <c r="N141" s="25"/>
      <c r="O141" s="25"/>
      <c r="P141" s="25"/>
    </row>
    <row r="142" spans="1:16" ht="15">
      <c r="A142" s="24" t="s">
        <v>70</v>
      </c>
      <c r="B142" s="63"/>
      <c r="C142" s="63"/>
      <c r="D142" s="113"/>
      <c r="E142" s="87"/>
      <c r="F142" s="87"/>
      <c r="G142" s="87"/>
      <c r="H142" s="87"/>
      <c r="I142" s="87"/>
      <c r="J142" s="87"/>
      <c r="K142" s="87"/>
      <c r="L142" s="87"/>
      <c r="M142" s="87"/>
      <c r="N142" s="87"/>
      <c r="O142" s="87"/>
      <c r="P142" s="87"/>
    </row>
    <row r="143" spans="1:16" ht="14.25">
      <c r="A143" s="63" t="s">
        <v>168</v>
      </c>
      <c r="B143" s="63"/>
      <c r="C143" s="63"/>
      <c r="D143" s="87"/>
      <c r="E143" s="87"/>
      <c r="F143" s="87"/>
      <c r="G143" s="87"/>
      <c r="H143" s="87"/>
      <c r="I143" s="87"/>
      <c r="J143" s="87"/>
      <c r="K143" s="87"/>
      <c r="L143" s="87"/>
      <c r="M143" s="87"/>
      <c r="N143" s="87"/>
      <c r="O143" s="87"/>
      <c r="P143" s="87"/>
    </row>
    <row r="144" spans="1:16" ht="15">
      <c r="A144" s="114"/>
      <c r="B144" s="41" t="s">
        <v>49</v>
      </c>
      <c r="C144" s="114"/>
      <c r="D144" s="39">
        <v>2021</v>
      </c>
      <c r="E144" s="114"/>
      <c r="F144" s="39" t="s">
        <v>108</v>
      </c>
      <c r="G144" s="114"/>
      <c r="H144" s="39" t="s">
        <v>108</v>
      </c>
      <c r="I144" s="114"/>
      <c r="J144" s="39" t="s">
        <v>108</v>
      </c>
      <c r="K144" s="114"/>
      <c r="L144" s="39" t="s">
        <v>108</v>
      </c>
      <c r="M144" s="114"/>
      <c r="N144" s="39" t="s">
        <v>108</v>
      </c>
      <c r="O144" s="114"/>
      <c r="P144" s="39" t="s">
        <v>108</v>
      </c>
    </row>
    <row r="145" spans="1:16" ht="14.25">
      <c r="A145" s="63" t="s">
        <v>109</v>
      </c>
      <c r="B145" s="63"/>
      <c r="C145" s="63"/>
      <c r="D145" s="65">
        <v>38737.9</v>
      </c>
      <c r="E145" s="65"/>
      <c r="F145" s="65"/>
      <c r="G145" s="65"/>
      <c r="H145" s="65"/>
      <c r="I145" s="65"/>
      <c r="J145" s="65"/>
      <c r="K145" s="65"/>
      <c r="L145" s="65"/>
      <c r="M145" s="65"/>
      <c r="N145" s="65"/>
      <c r="O145" s="65"/>
      <c r="P145" s="65">
        <v>38737.9</v>
      </c>
    </row>
    <row r="146" spans="1:16" ht="14.25">
      <c r="A146" s="63" t="s">
        <v>159</v>
      </c>
      <c r="B146" s="63"/>
      <c r="C146" s="63"/>
      <c r="D146" s="65">
        <v>88005.62</v>
      </c>
      <c r="E146" s="65"/>
      <c r="F146" s="65"/>
      <c r="G146" s="65"/>
      <c r="H146" s="65"/>
      <c r="I146" s="65"/>
      <c r="J146" s="65"/>
      <c r="K146" s="65"/>
      <c r="L146" s="65"/>
      <c r="M146" s="65"/>
      <c r="N146" s="65"/>
      <c r="O146" s="65"/>
      <c r="P146" s="65">
        <v>88005.62</v>
      </c>
    </row>
    <row r="147" spans="1:16" ht="14.25" hidden="1">
      <c r="A147" s="63" t="s">
        <v>283</v>
      </c>
      <c r="B147" s="63"/>
      <c r="C147" s="63"/>
      <c r="D147" s="65">
        <v>0</v>
      </c>
      <c r="E147" s="65"/>
      <c r="F147" s="65"/>
      <c r="G147" s="65"/>
      <c r="H147" s="65"/>
      <c r="I147" s="65"/>
      <c r="J147" s="65"/>
      <c r="K147" s="65"/>
      <c r="L147" s="65"/>
      <c r="M147" s="65"/>
      <c r="N147" s="65"/>
      <c r="O147" s="65"/>
      <c r="P147" s="65">
        <v>0</v>
      </c>
    </row>
    <row r="148" spans="1:16" ht="14.25">
      <c r="A148" s="63" t="s">
        <v>208</v>
      </c>
      <c r="B148" s="63"/>
      <c r="C148" s="63"/>
      <c r="D148" s="65">
        <v>47419.3</v>
      </c>
      <c r="E148" s="65"/>
      <c r="F148" s="65"/>
      <c r="G148" s="65"/>
      <c r="H148" s="65"/>
      <c r="I148" s="65"/>
      <c r="J148" s="65"/>
      <c r="K148" s="65"/>
      <c r="L148" s="65"/>
      <c r="M148" s="65"/>
      <c r="N148" s="65"/>
      <c r="O148" s="65"/>
      <c r="P148" s="65">
        <v>47419.3</v>
      </c>
    </row>
    <row r="149" spans="1:16" ht="15">
      <c r="A149" s="40" t="s">
        <v>169</v>
      </c>
      <c r="B149" s="61" t="s">
        <v>253</v>
      </c>
      <c r="C149" s="114"/>
      <c r="D149" s="55">
        <v>174162.82</v>
      </c>
      <c r="E149" s="55"/>
      <c r="F149" s="55">
        <v>0</v>
      </c>
      <c r="G149" s="55"/>
      <c r="H149" s="55">
        <v>0</v>
      </c>
      <c r="I149" s="55"/>
      <c r="J149" s="55">
        <v>0</v>
      </c>
      <c r="K149" s="55"/>
      <c r="L149" s="55">
        <v>0</v>
      </c>
      <c r="M149" s="55"/>
      <c r="N149" s="55">
        <v>0</v>
      </c>
      <c r="O149" s="55"/>
      <c r="P149" s="55">
        <v>174162.82</v>
      </c>
    </row>
    <row r="150" spans="1:16" ht="15">
      <c r="A150" s="24"/>
      <c r="B150" s="64"/>
      <c r="C150" s="63"/>
      <c r="D150" s="28"/>
      <c r="E150" s="28"/>
      <c r="F150" s="28"/>
      <c r="G150" s="28"/>
      <c r="H150" s="28"/>
      <c r="I150" s="28"/>
      <c r="J150" s="28"/>
      <c r="K150" s="28"/>
      <c r="L150" s="28"/>
      <c r="M150" s="28"/>
      <c r="N150" s="28"/>
      <c r="O150" s="28"/>
      <c r="P150" s="28"/>
    </row>
    <row r="151" spans="1:16" ht="15">
      <c r="A151" s="24"/>
      <c r="B151" s="64"/>
      <c r="C151" s="63"/>
      <c r="D151" s="28"/>
      <c r="E151" s="28"/>
      <c r="F151" s="28"/>
      <c r="G151" s="28"/>
      <c r="H151" s="28"/>
      <c r="I151" s="28"/>
      <c r="J151" s="28"/>
      <c r="K151" s="28"/>
      <c r="L151" s="28"/>
      <c r="M151" s="28"/>
      <c r="N151" s="28"/>
      <c r="O151" s="28"/>
      <c r="P151" s="28"/>
    </row>
    <row r="152" spans="1:16" ht="15">
      <c r="A152" s="24" t="s">
        <v>73</v>
      </c>
      <c r="B152" s="64"/>
      <c r="C152" s="63"/>
      <c r="D152" s="28"/>
      <c r="E152" s="28"/>
      <c r="F152" s="28"/>
      <c r="G152" s="28"/>
      <c r="H152" s="28"/>
      <c r="I152" s="28"/>
      <c r="J152" s="28"/>
      <c r="K152" s="28"/>
      <c r="L152" s="28"/>
      <c r="M152" s="28"/>
      <c r="N152" s="28"/>
      <c r="O152" s="28"/>
      <c r="P152" s="28"/>
    </row>
    <row r="153" spans="1:16" ht="15">
      <c r="A153" s="24"/>
      <c r="B153" s="64"/>
      <c r="C153" s="63"/>
      <c r="D153" s="28"/>
      <c r="E153" s="28"/>
      <c r="F153" s="28"/>
      <c r="G153" s="28"/>
      <c r="H153" s="28"/>
      <c r="I153" s="28"/>
      <c r="J153" s="28"/>
      <c r="K153" s="28"/>
      <c r="L153" s="28"/>
      <c r="M153" s="28"/>
      <c r="N153" s="28"/>
      <c r="O153" s="28"/>
      <c r="P153" s="28"/>
    </row>
    <row r="154" spans="1:16" ht="14.25">
      <c r="A154" s="63" t="s">
        <v>112</v>
      </c>
      <c r="B154" s="63"/>
      <c r="C154" s="63"/>
      <c r="D154" s="65">
        <v>51031.3</v>
      </c>
      <c r="E154" s="65"/>
      <c r="F154" s="65">
        <v>75000</v>
      </c>
      <c r="G154" s="65"/>
      <c r="H154" s="65"/>
      <c r="I154" s="65"/>
      <c r="J154" s="65"/>
      <c r="K154" s="65"/>
      <c r="L154" s="65">
        <v>-100000</v>
      </c>
      <c r="M154" s="65"/>
      <c r="N154" s="65">
        <v>-25000</v>
      </c>
      <c r="O154" s="65"/>
      <c r="P154" s="65">
        <v>26031.3</v>
      </c>
    </row>
    <row r="155" spans="1:16" ht="14.25">
      <c r="A155" s="63" t="s">
        <v>75</v>
      </c>
      <c r="B155" s="64" t="s">
        <v>253</v>
      </c>
      <c r="C155" s="63"/>
      <c r="D155" s="65">
        <v>5358847.01</v>
      </c>
      <c r="E155" s="65"/>
      <c r="F155" s="65"/>
      <c r="G155" s="65"/>
      <c r="H155" s="65"/>
      <c r="I155" s="65"/>
      <c r="J155" s="65">
        <v>-251590.7</v>
      </c>
      <c r="K155" s="65"/>
      <c r="L155" s="65"/>
      <c r="M155" s="65"/>
      <c r="N155" s="65">
        <v>-251590.7</v>
      </c>
      <c r="O155" s="65"/>
      <c r="P155" s="65">
        <v>5107256.31</v>
      </c>
    </row>
    <row r="156" spans="1:16" ht="15.75" thickBot="1">
      <c r="A156" s="29" t="s">
        <v>170</v>
      </c>
      <c r="B156" s="29"/>
      <c r="C156" s="29"/>
      <c r="D156" s="31">
        <v>5409878.31</v>
      </c>
      <c r="E156" s="31">
        <v>0</v>
      </c>
      <c r="F156" s="31">
        <v>75000</v>
      </c>
      <c r="G156" s="31">
        <v>0</v>
      </c>
      <c r="H156" s="31">
        <v>0</v>
      </c>
      <c r="I156" s="31" t="s">
        <v>253</v>
      </c>
      <c r="J156" s="31">
        <v>-251590.7</v>
      </c>
      <c r="K156" s="31" t="s">
        <v>253</v>
      </c>
      <c r="L156" s="31">
        <v>-100000</v>
      </c>
      <c r="M156" s="31" t="s">
        <v>253</v>
      </c>
      <c r="N156" s="31">
        <v>-276590.7</v>
      </c>
      <c r="O156" s="31" t="s">
        <v>253</v>
      </c>
      <c r="P156" s="31">
        <v>5133287.61</v>
      </c>
    </row>
    <row r="157" spans="4:6" ht="14.25">
      <c r="D157" s="26"/>
      <c r="E157" s="26"/>
      <c r="F157" s="26"/>
    </row>
    <row r="158" spans="2:6" ht="14.25">
      <c r="B158" s="27"/>
      <c r="D158" s="26"/>
      <c r="E158" s="26"/>
      <c r="F158" s="26"/>
    </row>
    <row r="159" spans="2:6" ht="14.25">
      <c r="B159" s="27"/>
      <c r="D159" s="26"/>
      <c r="E159" s="26"/>
      <c r="F159" s="26"/>
    </row>
    <row r="160" spans="1:3" s="63" customFormat="1" ht="14.25">
      <c r="A160" s="2"/>
      <c r="B160" s="27"/>
      <c r="C160" s="2"/>
    </row>
    <row r="161" s="63" customFormat="1" ht="15">
      <c r="A161" s="86" t="s">
        <v>240</v>
      </c>
    </row>
    <row r="162" spans="4:16" s="63" customFormat="1" ht="15">
      <c r="D162" s="25" t="s">
        <v>50</v>
      </c>
      <c r="E162" s="25"/>
      <c r="F162" s="25" t="s">
        <v>17</v>
      </c>
      <c r="G162" s="25"/>
      <c r="H162" s="25" t="s">
        <v>18</v>
      </c>
      <c r="I162" s="25"/>
      <c r="J162" s="25" t="s">
        <v>163</v>
      </c>
      <c r="K162" s="25"/>
      <c r="L162" s="25" t="s">
        <v>107</v>
      </c>
      <c r="M162" s="25"/>
      <c r="N162" s="25" t="s">
        <v>165</v>
      </c>
      <c r="O162" s="25"/>
      <c r="P162" s="25" t="s">
        <v>51</v>
      </c>
    </row>
    <row r="163" spans="1:16" s="63" customFormat="1" ht="15">
      <c r="A163" s="24"/>
      <c r="B163" s="24"/>
      <c r="C163" s="24"/>
      <c r="D163" s="25"/>
      <c r="E163" s="25"/>
      <c r="F163" s="25"/>
      <c r="G163" s="25"/>
      <c r="H163" s="25"/>
      <c r="I163" s="25"/>
      <c r="J163" s="25" t="s">
        <v>164</v>
      </c>
      <c r="K163" s="25"/>
      <c r="L163" s="25"/>
      <c r="M163" s="25"/>
      <c r="N163" s="25"/>
      <c r="O163" s="25"/>
      <c r="P163" s="25"/>
    </row>
    <row r="164" spans="1:16" s="63" customFormat="1" ht="15">
      <c r="A164" s="24" t="s">
        <v>70</v>
      </c>
      <c r="D164" s="113"/>
      <c r="E164" s="87"/>
      <c r="F164" s="87"/>
      <c r="G164" s="87"/>
      <c r="H164" s="87"/>
      <c r="I164" s="87"/>
      <c r="J164" s="87"/>
      <c r="K164" s="87"/>
      <c r="L164" s="87"/>
      <c r="M164" s="87"/>
      <c r="N164" s="87"/>
      <c r="O164" s="87"/>
      <c r="P164" s="87"/>
    </row>
    <row r="165" spans="1:16" s="63" customFormat="1" ht="14.25">
      <c r="A165" s="63" t="s">
        <v>168</v>
      </c>
      <c r="D165" s="87"/>
      <c r="E165" s="87"/>
      <c r="F165" s="87"/>
      <c r="G165" s="87"/>
      <c r="H165" s="87"/>
      <c r="I165" s="87"/>
      <c r="J165" s="87"/>
      <c r="K165" s="87"/>
      <c r="L165" s="87"/>
      <c r="M165" s="87"/>
      <c r="N165" s="87"/>
      <c r="O165" s="87"/>
      <c r="P165" s="87"/>
    </row>
    <row r="166" spans="1:16" s="63" customFormat="1" ht="18" customHeight="1">
      <c r="A166" s="114"/>
      <c r="B166" s="41" t="s">
        <v>49</v>
      </c>
      <c r="C166" s="114"/>
      <c r="D166" s="39">
        <v>2022</v>
      </c>
      <c r="E166" s="114"/>
      <c r="F166" s="39" t="s">
        <v>108</v>
      </c>
      <c r="G166" s="114"/>
      <c r="H166" s="39" t="s">
        <v>108</v>
      </c>
      <c r="I166" s="114"/>
      <c r="J166" s="39" t="s">
        <v>108</v>
      </c>
      <c r="K166" s="114"/>
      <c r="L166" s="39" t="s">
        <v>108</v>
      </c>
      <c r="M166" s="114"/>
      <c r="N166" s="39" t="s">
        <v>108</v>
      </c>
      <c r="O166" s="114"/>
      <c r="P166" s="39" t="s">
        <v>108</v>
      </c>
    </row>
    <row r="167" spans="1:16" s="63" customFormat="1" ht="14.25">
      <c r="A167" s="63" t="s">
        <v>109</v>
      </c>
      <c r="D167" s="84">
        <v>38737.9</v>
      </c>
      <c r="E167" s="84"/>
      <c r="F167" s="84"/>
      <c r="G167" s="84"/>
      <c r="H167" s="84"/>
      <c r="I167" s="84"/>
      <c r="J167" s="84"/>
      <c r="K167" s="84"/>
      <c r="L167" s="84">
        <v>500</v>
      </c>
      <c r="M167" s="84"/>
      <c r="N167" s="84">
        <v>-500</v>
      </c>
      <c r="O167" s="84"/>
      <c r="P167" s="84">
        <f>D167+F167+H167+J167-L167</f>
        <v>38237.9</v>
      </c>
    </row>
    <row r="168" spans="1:16" s="63" customFormat="1" ht="14.25">
      <c r="A168" s="63" t="s">
        <v>159</v>
      </c>
      <c r="D168" s="84">
        <v>88005.62</v>
      </c>
      <c r="E168" s="84"/>
      <c r="F168" s="84"/>
      <c r="G168" s="84"/>
      <c r="H168" s="84"/>
      <c r="I168" s="84"/>
      <c r="J168" s="84"/>
      <c r="K168" s="84"/>
      <c r="L168" s="84"/>
      <c r="M168" s="84"/>
      <c r="N168" s="84">
        <v>0</v>
      </c>
      <c r="O168" s="84"/>
      <c r="P168" s="84">
        <v>88005.62</v>
      </c>
    </row>
    <row r="169" spans="1:16" s="63" customFormat="1" ht="14.25">
      <c r="A169" s="63" t="s">
        <v>208</v>
      </c>
      <c r="D169" s="84">
        <v>47419.3</v>
      </c>
      <c r="E169" s="84"/>
      <c r="F169" s="84"/>
      <c r="G169" s="84"/>
      <c r="H169" s="84" t="s">
        <v>253</v>
      </c>
      <c r="I169" s="84"/>
      <c r="J169" s="84"/>
      <c r="K169" s="84"/>
      <c r="L169" s="84"/>
      <c r="M169" s="84"/>
      <c r="N169" s="84">
        <v>0</v>
      </c>
      <c r="O169" s="84"/>
      <c r="P169" s="84">
        <v>47419.3</v>
      </c>
    </row>
    <row r="170" spans="1:16" s="63" customFormat="1" ht="15">
      <c r="A170" s="40" t="s">
        <v>169</v>
      </c>
      <c r="B170" s="61" t="s">
        <v>151</v>
      </c>
      <c r="C170" s="114"/>
      <c r="D170" s="124">
        <f>SUM(D167:D169)</f>
        <v>174162.82</v>
      </c>
      <c r="E170" s="124"/>
      <c r="F170" s="124">
        <f>SUM(F167:F169)</f>
        <v>0</v>
      </c>
      <c r="G170" s="124">
        <f aca="true" t="shared" si="0" ref="G170:N170">SUM(G167:G169)</f>
        <v>0</v>
      </c>
      <c r="H170" s="124">
        <f t="shared" si="0"/>
        <v>0</v>
      </c>
      <c r="I170" s="124" t="s">
        <v>253</v>
      </c>
      <c r="J170" s="124">
        <f t="shared" si="0"/>
        <v>0</v>
      </c>
      <c r="K170" s="124" t="s">
        <v>253</v>
      </c>
      <c r="L170" s="124">
        <f t="shared" si="0"/>
        <v>500</v>
      </c>
      <c r="M170" s="124" t="s">
        <v>253</v>
      </c>
      <c r="N170" s="124">
        <f t="shared" si="0"/>
        <v>-500</v>
      </c>
      <c r="O170" s="124"/>
      <c r="P170" s="124">
        <f>SUM(P167:P169)</f>
        <v>173662.82</v>
      </c>
    </row>
    <row r="171" spans="1:16" s="63" customFormat="1" ht="15">
      <c r="A171" s="24"/>
      <c r="B171" s="64"/>
      <c r="D171" s="110"/>
      <c r="E171" s="28"/>
      <c r="F171" s="28"/>
      <c r="G171" s="28"/>
      <c r="H171" s="28"/>
      <c r="I171" s="28"/>
      <c r="J171" s="28"/>
      <c r="K171" s="28"/>
      <c r="L171" s="28"/>
      <c r="M171" s="28"/>
      <c r="N171" s="28"/>
      <c r="O171" s="28"/>
      <c r="P171" s="28"/>
    </row>
    <row r="172" spans="1:16" s="63" customFormat="1" ht="15">
      <c r="A172" s="24"/>
      <c r="B172" s="64"/>
      <c r="D172" s="110"/>
      <c r="E172" s="28"/>
      <c r="F172" s="28"/>
      <c r="G172" s="28"/>
      <c r="H172" s="28"/>
      <c r="I172" s="28"/>
      <c r="J172" s="28"/>
      <c r="K172" s="28"/>
      <c r="L172" s="28"/>
      <c r="M172" s="28"/>
      <c r="N172" s="28"/>
      <c r="O172" s="28"/>
      <c r="P172" s="28"/>
    </row>
    <row r="173" spans="1:16" s="63" customFormat="1" ht="15">
      <c r="A173" s="24" t="s">
        <v>73</v>
      </c>
      <c r="B173" s="64"/>
      <c r="D173" s="110"/>
      <c r="E173" s="28"/>
      <c r="F173" s="28"/>
      <c r="G173" s="28"/>
      <c r="H173" s="28"/>
      <c r="I173" s="28"/>
      <c r="J173" s="28"/>
      <c r="K173" s="28"/>
      <c r="L173" s="28"/>
      <c r="M173" s="28"/>
      <c r="N173" s="28"/>
      <c r="O173" s="28"/>
      <c r="P173" s="28"/>
    </row>
    <row r="174" spans="1:16" s="63" customFormat="1" ht="15">
      <c r="A174" s="24"/>
      <c r="B174" s="64"/>
      <c r="D174" s="110"/>
      <c r="E174" s="28"/>
      <c r="F174" s="28"/>
      <c r="G174" s="28"/>
      <c r="H174" s="28"/>
      <c r="I174" s="28"/>
      <c r="J174" s="28"/>
      <c r="K174" s="28"/>
      <c r="L174" s="28"/>
      <c r="M174" s="28"/>
      <c r="N174" s="28"/>
      <c r="O174" s="28"/>
      <c r="P174" s="28"/>
    </row>
    <row r="175" spans="1:16" s="63" customFormat="1" ht="14.25">
      <c r="A175" s="63" t="s">
        <v>112</v>
      </c>
      <c r="D175" s="84">
        <v>26031.3</v>
      </c>
      <c r="E175" s="65"/>
      <c r="F175" s="84">
        <v>75000</v>
      </c>
      <c r="G175" s="84"/>
      <c r="H175" s="84"/>
      <c r="I175" s="84"/>
      <c r="J175" s="84"/>
      <c r="K175" s="84"/>
      <c r="L175" s="84">
        <v>-100000</v>
      </c>
      <c r="M175" s="84"/>
      <c r="N175" s="84">
        <f>SUM(F175:L175)</f>
        <v>-25000</v>
      </c>
      <c r="O175" s="65"/>
      <c r="P175" s="65">
        <f>D175+F175+L175</f>
        <v>1031.300000000003</v>
      </c>
    </row>
    <row r="176" spans="1:16" ht="14.25">
      <c r="A176" s="63" t="s">
        <v>75</v>
      </c>
      <c r="B176" s="64" t="s">
        <v>82</v>
      </c>
      <c r="C176" s="63"/>
      <c r="D176" s="65">
        <v>5107256.31</v>
      </c>
      <c r="E176" s="65"/>
      <c r="F176" s="65"/>
      <c r="G176" s="65"/>
      <c r="H176" s="65" t="s">
        <v>253</v>
      </c>
      <c r="I176" s="65"/>
      <c r="J176" s="65">
        <f>-D94</f>
        <v>-592463.13</v>
      </c>
      <c r="K176" s="65"/>
      <c r="L176" s="65"/>
      <c r="M176" s="65"/>
      <c r="N176" s="65">
        <f>SUM(F176:L176)</f>
        <v>-592463.13</v>
      </c>
      <c r="O176" s="65"/>
      <c r="P176" s="65">
        <f>D176+N176</f>
        <v>4514793.18</v>
      </c>
    </row>
    <row r="177" spans="1:16" s="63" customFormat="1" ht="15" customHeight="1" thickBot="1">
      <c r="A177" s="29" t="s">
        <v>170</v>
      </c>
      <c r="B177" s="29"/>
      <c r="C177" s="29"/>
      <c r="D177" s="68">
        <f>SUM(D175:D176)</f>
        <v>5133287.609999999</v>
      </c>
      <c r="E177" s="31">
        <v>0</v>
      </c>
      <c r="F177" s="68">
        <f>SUM(F175:F176)</f>
        <v>75000</v>
      </c>
      <c r="G177" s="68">
        <f>SUM(G175:G176)</f>
        <v>0</v>
      </c>
      <c r="H177" s="68">
        <f>SUM(H175:H176)</f>
        <v>0</v>
      </c>
      <c r="I177" s="68" t="s">
        <v>253</v>
      </c>
      <c r="J177" s="68">
        <f>SUM(J175:J176)</f>
        <v>-592463.13</v>
      </c>
      <c r="K177" s="68" t="s">
        <v>253</v>
      </c>
      <c r="L177" s="68">
        <f>SUM(L175:L176)</f>
        <v>-100000</v>
      </c>
      <c r="M177" s="68" t="s">
        <v>253</v>
      </c>
      <c r="N177" s="68">
        <f>SUM(N175:N176)</f>
        <v>-617463.13</v>
      </c>
      <c r="O177" s="31"/>
      <c r="P177" s="31">
        <f>SUM(P175:P176)</f>
        <v>4515824.4799999995</v>
      </c>
    </row>
    <row r="178" ht="14.25"/>
    <row r="179" ht="14.25"/>
    <row r="180" ht="14.25"/>
    <row r="181" ht="14.25"/>
    <row r="182" ht="14.25"/>
    <row r="183" ht="14.25"/>
    <row r="184" ht="14.25"/>
    <row r="185" ht="34.5">
      <c r="A185" s="1" t="s">
        <v>114</v>
      </c>
    </row>
    <row r="186" ht="15">
      <c r="A186" s="24" t="s">
        <v>242</v>
      </c>
    </row>
    <row r="187" ht="15">
      <c r="A187" s="24"/>
    </row>
    <row r="188" ht="18" customHeight="1"/>
    <row r="189" spans="1:8" ht="15" customHeight="1">
      <c r="A189" s="174" t="s">
        <v>115</v>
      </c>
      <c r="B189" s="175"/>
      <c r="C189" s="175"/>
      <c r="D189" s="175"/>
      <c r="E189" s="175"/>
      <c r="F189" s="175"/>
      <c r="G189" s="162"/>
      <c r="H189" s="162"/>
    </row>
    <row r="190" spans="1:8" s="66" customFormat="1" ht="63.75" customHeight="1">
      <c r="A190" s="173" t="s">
        <v>158</v>
      </c>
      <c r="B190" s="173"/>
      <c r="C190" s="173"/>
      <c r="D190" s="173"/>
      <c r="E190" s="173"/>
      <c r="F190" s="173"/>
      <c r="G190" s="164"/>
      <c r="H190" s="164"/>
    </row>
    <row r="191" spans="1:8" s="66" customFormat="1" ht="14.25">
      <c r="A191" s="105"/>
      <c r="B191" s="105"/>
      <c r="C191" s="105"/>
      <c r="D191" s="105"/>
      <c r="E191" s="105"/>
      <c r="F191" s="105"/>
      <c r="G191" s="105"/>
      <c r="H191" s="105"/>
    </row>
    <row r="192" ht="14.25">
      <c r="A192" s="63"/>
    </row>
    <row r="193" spans="1:8" ht="15">
      <c r="A193" s="174" t="s">
        <v>116</v>
      </c>
      <c r="B193" s="175"/>
      <c r="C193" s="175"/>
      <c r="D193" s="175"/>
      <c r="E193" s="175"/>
      <c r="F193" s="175"/>
      <c r="G193" s="162"/>
      <c r="H193" s="162"/>
    </row>
    <row r="194" spans="1:8" ht="62.25" customHeight="1">
      <c r="A194" s="173" t="s">
        <v>293</v>
      </c>
      <c r="B194" s="173"/>
      <c r="C194" s="173"/>
      <c r="D194" s="173"/>
      <c r="E194" s="173"/>
      <c r="F194" s="173"/>
      <c r="G194" s="164"/>
      <c r="H194" s="164"/>
    </row>
    <row r="195" spans="1:8" ht="15.75" customHeight="1">
      <c r="A195" s="167"/>
      <c r="B195" s="167"/>
      <c r="C195" s="167"/>
      <c r="D195" s="167"/>
      <c r="E195" s="167"/>
      <c r="F195" s="167"/>
      <c r="G195" s="168"/>
      <c r="H195" s="168"/>
    </row>
    <row r="196" ht="13.5" customHeight="1">
      <c r="A196" s="43"/>
    </row>
    <row r="197" spans="1:8" ht="15" customHeight="1">
      <c r="A197" s="174" t="s">
        <v>140</v>
      </c>
      <c r="B197" s="175"/>
      <c r="C197" s="175"/>
      <c r="D197" s="175"/>
      <c r="E197" s="175"/>
      <c r="F197" s="175"/>
      <c r="G197" s="162"/>
      <c r="H197" s="162"/>
    </row>
    <row r="198" spans="1:8" s="66" customFormat="1" ht="51" customHeight="1">
      <c r="A198" s="173" t="s">
        <v>258</v>
      </c>
      <c r="B198" s="173"/>
      <c r="C198" s="173"/>
      <c r="D198" s="173"/>
      <c r="E198" s="173"/>
      <c r="F198" s="173"/>
      <c r="G198" s="164"/>
      <c r="H198" s="164"/>
    </row>
    <row r="199" spans="1:8" ht="14.25">
      <c r="A199" s="105"/>
      <c r="B199" s="106"/>
      <c r="C199" s="106"/>
      <c r="D199" s="106"/>
      <c r="E199" s="106"/>
      <c r="F199" s="106"/>
      <c r="G199" s="106"/>
      <c r="H199" s="106"/>
    </row>
    <row r="200" ht="14.25">
      <c r="A200" s="43"/>
    </row>
    <row r="201" spans="1:8" ht="15" customHeight="1">
      <c r="A201" s="174" t="s">
        <v>117</v>
      </c>
      <c r="B201" s="175"/>
      <c r="C201" s="175"/>
      <c r="D201" s="175"/>
      <c r="E201" s="175"/>
      <c r="F201" s="175"/>
      <c r="G201" s="166"/>
      <c r="H201" s="166"/>
    </row>
    <row r="202" spans="1:8" ht="52.5" customHeight="1">
      <c r="A202" s="173" t="s">
        <v>152</v>
      </c>
      <c r="B202" s="173"/>
      <c r="C202" s="173"/>
      <c r="D202" s="173"/>
      <c r="E202" s="173"/>
      <c r="F202" s="173"/>
      <c r="G202" s="164"/>
      <c r="H202" s="164"/>
    </row>
    <row r="203" ht="14.25">
      <c r="A203" s="43"/>
    </row>
    <row r="204" spans="1:8" ht="15">
      <c r="A204" s="174" t="s">
        <v>53</v>
      </c>
      <c r="B204" s="175"/>
      <c r="C204" s="175"/>
      <c r="D204" s="175"/>
      <c r="E204" s="175"/>
      <c r="F204" s="175"/>
      <c r="G204" s="162"/>
      <c r="H204" s="162"/>
    </row>
    <row r="205" spans="1:8" ht="21.75" customHeight="1">
      <c r="A205" s="173" t="s">
        <v>118</v>
      </c>
      <c r="B205" s="173"/>
      <c r="C205" s="173"/>
      <c r="D205" s="173"/>
      <c r="E205" s="173"/>
      <c r="F205" s="173"/>
      <c r="G205" s="165"/>
      <c r="H205" s="165"/>
    </row>
    <row r="206" ht="14.25">
      <c r="A206" s="43"/>
    </row>
    <row r="207" spans="1:8" ht="15">
      <c r="A207" s="174" t="s">
        <v>54</v>
      </c>
      <c r="B207" s="175"/>
      <c r="C207" s="175"/>
      <c r="D207" s="175"/>
      <c r="E207" s="175"/>
      <c r="F207" s="175"/>
      <c r="G207" s="162"/>
      <c r="H207" s="162"/>
    </row>
    <row r="208" spans="1:8" ht="32.25" customHeight="1">
      <c r="A208" s="173" t="s">
        <v>257</v>
      </c>
      <c r="B208" s="173"/>
      <c r="C208" s="173"/>
      <c r="D208" s="173"/>
      <c r="E208" s="173"/>
      <c r="F208" s="173"/>
      <c r="G208" s="164"/>
      <c r="H208" s="164"/>
    </row>
    <row r="209" ht="14.25">
      <c r="A209" s="43"/>
    </row>
    <row r="210" spans="1:8" ht="15">
      <c r="A210" s="161" t="s">
        <v>55</v>
      </c>
      <c r="B210" s="162"/>
      <c r="C210" s="162"/>
      <c r="D210" s="162"/>
      <c r="E210" s="162"/>
      <c r="F210" s="162"/>
      <c r="G210" s="162"/>
      <c r="H210" s="162"/>
    </row>
    <row r="211" spans="1:8" ht="36.75" customHeight="1">
      <c r="A211" s="173" t="s">
        <v>146</v>
      </c>
      <c r="B211" s="173"/>
      <c r="C211" s="173"/>
      <c r="D211" s="173"/>
      <c r="E211" s="173"/>
      <c r="F211" s="173"/>
      <c r="G211" s="164"/>
      <c r="H211" s="164"/>
    </row>
    <row r="212" ht="15" customHeight="1">
      <c r="A212" s="43"/>
    </row>
    <row r="213" spans="1:8" ht="15" customHeight="1">
      <c r="A213" s="161" t="s">
        <v>56</v>
      </c>
      <c r="B213" s="162"/>
      <c r="C213" s="162"/>
      <c r="D213" s="162"/>
      <c r="E213" s="162"/>
      <c r="F213" s="162"/>
      <c r="G213" s="162"/>
      <c r="H213" s="162"/>
    </row>
    <row r="214" spans="1:8" ht="37.5" customHeight="1">
      <c r="A214" s="173" t="s">
        <v>119</v>
      </c>
      <c r="B214" s="173"/>
      <c r="C214" s="173"/>
      <c r="D214" s="173"/>
      <c r="E214" s="173"/>
      <c r="F214" s="173"/>
      <c r="G214" s="164"/>
      <c r="H214" s="164"/>
    </row>
    <row r="215" ht="15" customHeight="1"/>
    <row r="216" spans="1:8" ht="35.25" customHeight="1">
      <c r="A216" s="169" t="s">
        <v>60</v>
      </c>
      <c r="B216" s="162"/>
      <c r="C216" s="162"/>
      <c r="D216" s="162"/>
      <c r="E216" s="162"/>
      <c r="F216" s="162"/>
      <c r="G216" s="162"/>
      <c r="H216" s="162"/>
    </row>
    <row r="217" spans="1:8" ht="119.25" customHeight="1">
      <c r="A217" s="173" t="s">
        <v>235</v>
      </c>
      <c r="B217" s="173"/>
      <c r="C217" s="173"/>
      <c r="D217" s="173"/>
      <c r="E217" s="173"/>
      <c r="F217" s="173"/>
      <c r="G217" s="164"/>
      <c r="H217" s="164"/>
    </row>
    <row r="218" ht="14.25">
      <c r="A218" s="42"/>
    </row>
    <row r="219" spans="1:8" ht="15" customHeight="1">
      <c r="A219" s="161" t="s">
        <v>61</v>
      </c>
      <c r="B219" s="162"/>
      <c r="C219" s="162"/>
      <c r="D219" s="162"/>
      <c r="E219" s="162"/>
      <c r="F219" s="162"/>
      <c r="G219" s="162"/>
      <c r="H219" s="162"/>
    </row>
    <row r="220" spans="1:8" ht="18" customHeight="1">
      <c r="A220" s="173" t="s">
        <v>200</v>
      </c>
      <c r="B220" s="173"/>
      <c r="C220" s="173"/>
      <c r="D220" s="173"/>
      <c r="E220" s="173"/>
      <c r="F220" s="173"/>
      <c r="G220" s="164"/>
      <c r="H220" s="164"/>
    </row>
    <row r="221" ht="16.5" customHeight="1">
      <c r="A221" s="42"/>
    </row>
    <row r="222" spans="1:8" ht="15">
      <c r="A222" s="161" t="s">
        <v>120</v>
      </c>
      <c r="B222" s="162"/>
      <c r="C222" s="162"/>
      <c r="D222" s="162"/>
      <c r="E222" s="162"/>
      <c r="F222" s="162"/>
      <c r="G222" s="162"/>
      <c r="H222" s="162"/>
    </row>
    <row r="223" spans="1:8" ht="32.25" customHeight="1">
      <c r="A223" s="173" t="s">
        <v>121</v>
      </c>
      <c r="B223" s="173"/>
      <c r="C223" s="173"/>
      <c r="D223" s="173"/>
      <c r="E223" s="173"/>
      <c r="F223" s="173"/>
      <c r="G223" s="173"/>
      <c r="H223" s="173"/>
    </row>
    <row r="224" ht="15" customHeight="1">
      <c r="A224" s="42"/>
    </row>
    <row r="225" spans="1:8" ht="15">
      <c r="A225" s="161" t="s">
        <v>69</v>
      </c>
      <c r="B225" s="162"/>
      <c r="C225" s="162"/>
      <c r="D225" s="162"/>
      <c r="E225" s="162"/>
      <c r="F225" s="162"/>
      <c r="G225" s="162"/>
      <c r="H225" s="162"/>
    </row>
    <row r="226" spans="1:8" ht="33.75" customHeight="1">
      <c r="A226" s="173" t="s">
        <v>122</v>
      </c>
      <c r="B226" s="173"/>
      <c r="C226" s="173"/>
      <c r="D226" s="173"/>
      <c r="E226" s="173"/>
      <c r="F226" s="173"/>
      <c r="G226" s="173"/>
      <c r="H226" s="173"/>
    </row>
    <row r="227" ht="18" customHeight="1">
      <c r="A227" s="42"/>
    </row>
    <row r="228" spans="1:8" ht="30">
      <c r="A228" s="166" t="s">
        <v>110</v>
      </c>
      <c r="B228" s="166"/>
      <c r="C228" s="166"/>
      <c r="D228" s="166"/>
      <c r="E228" s="166"/>
      <c r="F228" s="166"/>
      <c r="G228" s="166"/>
      <c r="H228" s="166"/>
    </row>
    <row r="229" spans="1:8" ht="63.75" customHeight="1">
      <c r="A229" s="173" t="s">
        <v>263</v>
      </c>
      <c r="B229" s="173"/>
      <c r="C229" s="173"/>
      <c r="D229" s="173"/>
      <c r="E229" s="173"/>
      <c r="F229" s="173"/>
      <c r="G229" s="173"/>
      <c r="H229" s="173"/>
    </row>
    <row r="230" ht="15" customHeight="1">
      <c r="A230" s="42"/>
    </row>
    <row r="231" spans="1:8" ht="15">
      <c r="A231" s="166" t="s">
        <v>73</v>
      </c>
      <c r="B231" s="166"/>
      <c r="C231" s="166"/>
      <c r="D231" s="166"/>
      <c r="E231" s="166"/>
      <c r="F231" s="166"/>
      <c r="G231" s="166"/>
      <c r="H231" s="166"/>
    </row>
    <row r="232" spans="1:8" ht="31.5" customHeight="1">
      <c r="A232" s="173" t="s">
        <v>153</v>
      </c>
      <c r="B232" s="173"/>
      <c r="C232" s="173"/>
      <c r="D232" s="173"/>
      <c r="E232" s="173"/>
      <c r="F232" s="173"/>
      <c r="G232" s="173"/>
      <c r="H232" s="173"/>
    </row>
    <row r="233" ht="18" customHeight="1">
      <c r="A233" s="42"/>
    </row>
    <row r="234" spans="1:8" ht="15">
      <c r="A234" s="161" t="s">
        <v>123</v>
      </c>
      <c r="B234" s="162"/>
      <c r="C234" s="162"/>
      <c r="D234" s="162"/>
      <c r="E234" s="162"/>
      <c r="F234" s="162"/>
      <c r="G234" s="162"/>
      <c r="H234" s="162"/>
    </row>
    <row r="235" spans="1:8" ht="76.5" customHeight="1">
      <c r="A235" s="173" t="s">
        <v>237</v>
      </c>
      <c r="B235" s="173"/>
      <c r="C235" s="173"/>
      <c r="D235" s="173"/>
      <c r="E235" s="173"/>
      <c r="F235" s="173"/>
      <c r="G235" s="173"/>
      <c r="H235" s="173"/>
    </row>
    <row r="236" spans="1:8" ht="30" customHeight="1">
      <c r="A236" s="159"/>
      <c r="B236" s="160"/>
      <c r="C236" s="160"/>
      <c r="D236" s="160"/>
      <c r="E236" s="160"/>
      <c r="F236" s="160"/>
      <c r="G236" s="160"/>
      <c r="H236" s="160"/>
    </row>
    <row r="237" spans="1:8" ht="15" customHeight="1">
      <c r="A237" s="174" t="s">
        <v>241</v>
      </c>
      <c r="B237" s="175"/>
      <c r="C237" s="175"/>
      <c r="D237" s="175"/>
      <c r="E237" s="175"/>
      <c r="F237" s="175"/>
      <c r="G237" s="161"/>
      <c r="H237" s="161"/>
    </row>
    <row r="238" spans="1:8" ht="35.25" customHeight="1">
      <c r="A238" s="173" t="s">
        <v>45</v>
      </c>
      <c r="B238" s="173"/>
      <c r="C238" s="173"/>
      <c r="D238" s="173"/>
      <c r="E238" s="173"/>
      <c r="F238" s="173"/>
      <c r="G238" s="173"/>
      <c r="H238" s="173"/>
    </row>
    <row r="239" ht="12" customHeight="1"/>
    <row r="240" ht="14.25"/>
    <row r="241" ht="15">
      <c r="A241" s="24" t="s">
        <v>143</v>
      </c>
    </row>
    <row r="242" ht="18" customHeight="1"/>
    <row r="243" ht="14.25"/>
    <row r="244" spans="1:8" ht="15">
      <c r="A244" s="24" t="s">
        <v>124</v>
      </c>
      <c r="B244" s="24"/>
      <c r="C244" s="24"/>
      <c r="D244" s="24"/>
      <c r="E244" s="24"/>
      <c r="F244" s="44">
        <v>44926</v>
      </c>
      <c r="G244" s="24"/>
      <c r="H244" s="44">
        <v>44561</v>
      </c>
    </row>
    <row r="245" spans="1:8" ht="17.25" customHeight="1">
      <c r="A245" s="2" t="s">
        <v>125</v>
      </c>
      <c r="D245" s="23" t="s">
        <v>108</v>
      </c>
      <c r="E245" s="23"/>
      <c r="F245" s="98">
        <f>754.4+218.05</f>
        <v>972.45</v>
      </c>
      <c r="H245" s="65">
        <f>727.6+392</f>
        <v>1119.6</v>
      </c>
    </row>
    <row r="246" spans="1:8" ht="14.25">
      <c r="A246" s="2" t="s">
        <v>126</v>
      </c>
      <c r="D246" s="23" t="s">
        <v>108</v>
      </c>
      <c r="E246" s="23"/>
      <c r="F246" s="98">
        <f>403381.49+6195.59+199331.11+7391.82+15332.9</f>
        <v>631632.9099999999</v>
      </c>
      <c r="H246" s="65">
        <f>238560.61+2715.69+166711.81+5906.52+15387.9</f>
        <v>429282.53</v>
      </c>
    </row>
    <row r="247" spans="1:8" ht="14.25">
      <c r="A247" s="2" t="s">
        <v>127</v>
      </c>
      <c r="D247" s="23" t="s">
        <v>108</v>
      </c>
      <c r="E247" s="23"/>
      <c r="F247" s="98">
        <f>858322.25+1045114+273589.71+896872.12+52565.15+188756.74</f>
        <v>3315219.9699999997</v>
      </c>
      <c r="H247" s="65">
        <f>4309766.21-H245-H246-870</f>
        <v>3878494.08</v>
      </c>
    </row>
    <row r="248" spans="1:8" ht="19.5" customHeight="1" thickBot="1">
      <c r="A248" s="29" t="s">
        <v>128</v>
      </c>
      <c r="B248" s="29"/>
      <c r="C248" s="29"/>
      <c r="D248" s="45" t="s">
        <v>108</v>
      </c>
      <c r="E248" s="45"/>
      <c r="F248" s="140">
        <f>SUM(F245:F247)</f>
        <v>3947825.3299999996</v>
      </c>
      <c r="G248" s="29"/>
      <c r="H248" s="31">
        <f>SUM(H245:H247)</f>
        <v>4308896.21</v>
      </c>
    </row>
    <row r="249" ht="14.25">
      <c r="H249" s="26"/>
    </row>
    <row r="250" ht="15" customHeight="1">
      <c r="H250" s="26"/>
    </row>
    <row r="251" spans="1:8" ht="16.5" customHeight="1">
      <c r="A251" s="24" t="s">
        <v>129</v>
      </c>
      <c r="H251" s="26"/>
    </row>
    <row r="252" spans="1:8" ht="14.25">
      <c r="A252" s="63" t="s">
        <v>145</v>
      </c>
      <c r="D252" s="23" t="s">
        <v>108</v>
      </c>
      <c r="E252" s="23"/>
      <c r="F252" s="65">
        <v>453668.91</v>
      </c>
      <c r="H252" s="65">
        <f>527353.47+870-267095+24000</f>
        <v>285128.47</v>
      </c>
    </row>
    <row r="253" spans="1:8" ht="14.25">
      <c r="A253" s="63" t="s">
        <v>206</v>
      </c>
      <c r="D253" s="23" t="s">
        <v>108</v>
      </c>
      <c r="E253" s="23"/>
      <c r="F253" s="65">
        <f>446744.38+36000</f>
        <v>482744.38</v>
      </c>
      <c r="H253" s="65">
        <f>267095+127944.49</f>
        <v>395039.49</v>
      </c>
    </row>
    <row r="254" spans="1:8" ht="18" customHeight="1" thickBot="1">
      <c r="A254" s="29" t="s">
        <v>130</v>
      </c>
      <c r="B254" s="29"/>
      <c r="C254" s="29"/>
      <c r="D254" s="45" t="s">
        <v>108</v>
      </c>
      <c r="E254" s="45"/>
      <c r="F254" s="68">
        <f>SUM(F252:F253)</f>
        <v>936413.29</v>
      </c>
      <c r="G254" s="31">
        <f>SUM(G252:G253)</f>
        <v>0</v>
      </c>
      <c r="H254" s="31">
        <f>SUM(H252:H253)</f>
        <v>680167.96</v>
      </c>
    </row>
    <row r="255" spans="1:8" ht="15">
      <c r="A255" s="49"/>
      <c r="B255" s="49"/>
      <c r="C255" s="49"/>
      <c r="D255" s="48"/>
      <c r="E255" s="49"/>
      <c r="F255" s="62"/>
      <c r="G255" s="62"/>
      <c r="H255" s="62"/>
    </row>
    <row r="256" ht="15">
      <c r="A256" s="24"/>
    </row>
    <row r="257" spans="1:8" ht="17.25" customHeight="1">
      <c r="A257" s="86" t="s">
        <v>155</v>
      </c>
      <c r="B257" s="66"/>
      <c r="C257" s="66"/>
      <c r="D257" s="66"/>
      <c r="E257" s="66"/>
      <c r="F257" s="66"/>
      <c r="G257" s="66"/>
      <c r="H257" s="66"/>
    </row>
    <row r="258" spans="1:11" ht="46.5" customHeight="1">
      <c r="A258" s="173" t="s">
        <v>268</v>
      </c>
      <c r="B258" s="173"/>
      <c r="C258" s="173"/>
      <c r="D258" s="173"/>
      <c r="E258" s="173"/>
      <c r="F258" s="173"/>
      <c r="G258" s="179"/>
      <c r="H258" s="179"/>
      <c r="K258" s="63"/>
    </row>
    <row r="259" spans="1:8" ht="15" customHeight="1">
      <c r="A259" s="85"/>
      <c r="B259" s="85"/>
      <c r="C259" s="85"/>
      <c r="D259" s="85"/>
      <c r="E259" s="85"/>
      <c r="F259" s="85"/>
      <c r="G259" s="85"/>
      <c r="H259" s="85"/>
    </row>
    <row r="260" spans="1:8" ht="16.5" customHeight="1">
      <c r="A260" s="86" t="s">
        <v>156</v>
      </c>
      <c r="B260" s="85"/>
      <c r="C260" s="85"/>
      <c r="D260" s="85"/>
      <c r="E260" s="85"/>
      <c r="F260" s="85"/>
      <c r="G260" s="85"/>
      <c r="H260" s="85"/>
    </row>
    <row r="261" spans="1:8" ht="15">
      <c r="A261" s="139" t="s">
        <v>213</v>
      </c>
      <c r="B261" s="108" t="s">
        <v>131</v>
      </c>
      <c r="C261" s="108"/>
      <c r="D261" s="108" t="s">
        <v>132</v>
      </c>
      <c r="E261" s="108"/>
      <c r="F261" s="108" t="s">
        <v>133</v>
      </c>
      <c r="G261" s="108"/>
      <c r="H261" s="108" t="s">
        <v>134</v>
      </c>
    </row>
    <row r="262" spans="1:8" ht="5.25" customHeight="1">
      <c r="A262" s="69"/>
      <c r="B262" s="69"/>
      <c r="C262" s="69"/>
      <c r="D262" s="69"/>
      <c r="E262" s="69"/>
      <c r="F262" s="69"/>
      <c r="G262" s="69"/>
      <c r="H262" s="69"/>
    </row>
    <row r="263" spans="1:8" ht="14.25">
      <c r="A263" s="69"/>
      <c r="B263" s="109" t="s">
        <v>108</v>
      </c>
      <c r="C263" s="69"/>
      <c r="D263" s="109" t="s">
        <v>108</v>
      </c>
      <c r="E263" s="69"/>
      <c r="F263" s="109" t="s">
        <v>108</v>
      </c>
      <c r="G263" s="69"/>
      <c r="H263" s="109" t="s">
        <v>108</v>
      </c>
    </row>
    <row r="264" spans="1:8" ht="14.25">
      <c r="A264" s="69" t="s">
        <v>214</v>
      </c>
      <c r="B264" s="67">
        <v>3013763.12</v>
      </c>
      <c r="C264" s="84" t="s">
        <v>253</v>
      </c>
      <c r="D264" s="67">
        <v>554105.3</v>
      </c>
      <c r="E264" s="84" t="s">
        <v>253</v>
      </c>
      <c r="F264" s="67">
        <v>4678723.6</v>
      </c>
      <c r="G264" s="67"/>
      <c r="H264" s="67">
        <f>SUM(B264:F264)</f>
        <v>8246592.02</v>
      </c>
    </row>
    <row r="265" spans="1:8" ht="14.25">
      <c r="A265" s="69" t="s">
        <v>215</v>
      </c>
      <c r="B265" s="67">
        <v>130377.91</v>
      </c>
      <c r="C265" s="67"/>
      <c r="D265" s="67">
        <v>8036.18</v>
      </c>
      <c r="E265" s="67"/>
      <c r="F265" s="67">
        <v>66061.55</v>
      </c>
      <c r="G265" s="67"/>
      <c r="H265" s="67">
        <f>SUM(B265:F265)</f>
        <v>204475.64</v>
      </c>
    </row>
    <row r="266" spans="1:8" s="24" customFormat="1" ht="15">
      <c r="A266" s="69" t="s">
        <v>230</v>
      </c>
      <c r="B266" s="84">
        <v>-2015152.97</v>
      </c>
      <c r="C266" s="67"/>
      <c r="D266" s="84">
        <v>-241988.52</v>
      </c>
      <c r="E266" s="67"/>
      <c r="F266" s="67"/>
      <c r="G266" s="67"/>
      <c r="H266" s="67">
        <f>SUM(B266:F266)</f>
        <v>-2257141.4899999998</v>
      </c>
    </row>
    <row r="267" spans="1:8" ht="14.25">
      <c r="A267" s="69" t="s">
        <v>216</v>
      </c>
      <c r="B267" s="67">
        <f>SUM(B264:B266)</f>
        <v>1128988.0600000003</v>
      </c>
      <c r="C267" s="67">
        <f>SUM(C264:C266)</f>
        <v>0</v>
      </c>
      <c r="D267" s="67">
        <f>SUM(D264:D266)</f>
        <v>320152.9600000001</v>
      </c>
      <c r="E267" s="67">
        <f>SUM(E264:E266)</f>
        <v>0</v>
      </c>
      <c r="F267" s="67">
        <f>SUM(F264:F266)</f>
        <v>4744785.149999999</v>
      </c>
      <c r="G267" s="67"/>
      <c r="H267" s="67">
        <f>SUM(B267:F267)</f>
        <v>6193926.17</v>
      </c>
    </row>
    <row r="268" spans="1:8" ht="14.25">
      <c r="A268" s="69"/>
      <c r="B268" s="84"/>
      <c r="C268" s="84"/>
      <c r="D268" s="84"/>
      <c r="E268" s="84"/>
      <c r="F268" s="84"/>
      <c r="G268" s="84"/>
      <c r="H268" s="84"/>
    </row>
    <row r="269" spans="1:8" ht="14.25">
      <c r="A269" s="69" t="s">
        <v>154</v>
      </c>
      <c r="B269" s="84"/>
      <c r="C269" s="84"/>
      <c r="D269" s="84"/>
      <c r="E269" s="84"/>
      <c r="F269" s="84"/>
      <c r="G269" s="84"/>
      <c r="H269" s="84"/>
    </row>
    <row r="270" spans="1:8" ht="14.25">
      <c r="A270" s="69" t="s">
        <v>217</v>
      </c>
      <c r="B270" s="84">
        <v>2229332.12</v>
      </c>
      <c r="C270" s="67"/>
      <c r="D270" s="84">
        <v>363141.3</v>
      </c>
      <c r="E270" s="67"/>
      <c r="F270" s="84">
        <v>3909113.6</v>
      </c>
      <c r="G270" s="67"/>
      <c r="H270" s="67">
        <f>SUM(B270:F270)</f>
        <v>6501587.02</v>
      </c>
    </row>
    <row r="271" spans="1:8" ht="14.25">
      <c r="A271" s="69" t="s">
        <v>218</v>
      </c>
      <c r="B271" s="67">
        <v>310869.91</v>
      </c>
      <c r="C271" s="67"/>
      <c r="D271" s="67">
        <v>23542.18</v>
      </c>
      <c r="E271" s="67"/>
      <c r="F271" s="67">
        <v>144802.55</v>
      </c>
      <c r="G271" s="67"/>
      <c r="H271" s="67">
        <f>SUM(B271:F271)</f>
        <v>479214.63999999996</v>
      </c>
    </row>
    <row r="272" spans="1:8" ht="14.25">
      <c r="A272" s="69" t="s">
        <v>231</v>
      </c>
      <c r="B272" s="67">
        <v>-2015152.97</v>
      </c>
      <c r="C272" s="67"/>
      <c r="D272" s="67">
        <v>-241988.52</v>
      </c>
      <c r="E272" s="67"/>
      <c r="F272" s="67"/>
      <c r="G272" s="67"/>
      <c r="H272" s="67">
        <f>SUM(B272:F272)</f>
        <v>-2257141.4899999998</v>
      </c>
    </row>
    <row r="273" spans="1:8" ht="14.25">
      <c r="A273" s="69" t="s">
        <v>219</v>
      </c>
      <c r="B273" s="67">
        <f>SUM(B270:B272)</f>
        <v>525049.0600000003</v>
      </c>
      <c r="C273" s="67">
        <f>SUM(C270:C271)</f>
        <v>0</v>
      </c>
      <c r="D273" s="67">
        <f>SUM(D270:D272)</f>
        <v>144694.96</v>
      </c>
      <c r="E273" s="67">
        <f>SUM(E270:E271)</f>
        <v>0</v>
      </c>
      <c r="F273" s="67">
        <f>SUM(F270:F272)</f>
        <v>4053916.15</v>
      </c>
      <c r="G273" s="67"/>
      <c r="H273" s="67">
        <f>SUM(B273:F273)</f>
        <v>4723660.17</v>
      </c>
    </row>
    <row r="274" spans="1:8" ht="14.25">
      <c r="A274" s="69"/>
      <c r="B274" s="84"/>
      <c r="C274" s="84"/>
      <c r="D274" s="84"/>
      <c r="E274" s="84"/>
      <c r="F274" s="84"/>
      <c r="G274" s="84"/>
      <c r="H274" s="84"/>
    </row>
    <row r="275" spans="1:8" ht="14.25">
      <c r="A275" s="69"/>
      <c r="B275" s="84"/>
      <c r="C275" s="84"/>
      <c r="D275" s="84"/>
      <c r="E275" s="84"/>
      <c r="F275" s="84"/>
      <c r="G275" s="84"/>
      <c r="H275" s="84"/>
    </row>
    <row r="276" spans="1:8" ht="14.25">
      <c r="A276" s="69" t="s">
        <v>220</v>
      </c>
      <c r="B276" s="67">
        <f>B264-B270</f>
        <v>784431</v>
      </c>
      <c r="C276" s="67" t="e">
        <f aca="true" t="shared" si="1" ref="C276:H276">C264-C270</f>
        <v>#VALUE!</v>
      </c>
      <c r="D276" s="67">
        <f t="shared" si="1"/>
        <v>190964.00000000006</v>
      </c>
      <c r="E276" s="67" t="e">
        <f t="shared" si="1"/>
        <v>#VALUE!</v>
      </c>
      <c r="F276" s="67">
        <f t="shared" si="1"/>
        <v>769609.9999999995</v>
      </c>
      <c r="G276" s="67">
        <f t="shared" si="1"/>
        <v>0</v>
      </c>
      <c r="H276" s="67">
        <f t="shared" si="1"/>
        <v>1745005</v>
      </c>
    </row>
    <row r="277" spans="1:8" ht="15">
      <c r="A277" s="86" t="s">
        <v>221</v>
      </c>
      <c r="B277" s="110">
        <f>SUM(B267-B273)</f>
        <v>603939</v>
      </c>
      <c r="C277" s="110">
        <f>SUM(C267-C273)</f>
        <v>0</v>
      </c>
      <c r="D277" s="110">
        <f>SUM(D267-D273)</f>
        <v>175458.0000000001</v>
      </c>
      <c r="E277" s="110">
        <f>SUM(E267-E273)</f>
        <v>0</v>
      </c>
      <c r="F277" s="110">
        <f>SUM(F267-F273)</f>
        <v>690868.9999999995</v>
      </c>
      <c r="G277" s="110"/>
      <c r="H277" s="110">
        <f>SUM(H267-H273)</f>
        <v>1470266</v>
      </c>
    </row>
    <row r="278" spans="1:8" ht="14.25">
      <c r="A278" s="69"/>
      <c r="B278" s="84"/>
      <c r="C278" s="84"/>
      <c r="D278" s="84"/>
      <c r="E278" s="84"/>
      <c r="F278" s="84"/>
      <c r="G278" s="84"/>
      <c r="H278" s="84" t="s">
        <v>253</v>
      </c>
    </row>
    <row r="279" spans="1:8" ht="14.25">
      <c r="A279" s="66"/>
      <c r="B279" s="66"/>
      <c r="C279" s="66"/>
      <c r="D279" s="66"/>
      <c r="E279" s="66"/>
      <c r="F279" s="66"/>
      <c r="G279" s="66"/>
      <c r="H279" s="66"/>
    </row>
    <row r="280" s="66" customFormat="1" ht="8.25" customHeight="1">
      <c r="A280" s="86"/>
    </row>
    <row r="281" spans="1:8" ht="16.5" customHeight="1">
      <c r="A281" s="69" t="s">
        <v>243</v>
      </c>
      <c r="B281" s="108" t="s">
        <v>131</v>
      </c>
      <c r="C281" s="108"/>
      <c r="D281" s="108" t="s">
        <v>132</v>
      </c>
      <c r="E281" s="108"/>
      <c r="F281" s="108" t="s">
        <v>133</v>
      </c>
      <c r="G281" s="108"/>
      <c r="H281" s="108" t="s">
        <v>134</v>
      </c>
    </row>
    <row r="282" spans="1:8" ht="9" customHeight="1">
      <c r="A282" s="66"/>
      <c r="B282" s="66"/>
      <c r="C282" s="66"/>
      <c r="D282" s="66"/>
      <c r="E282" s="66"/>
      <c r="F282" s="66"/>
      <c r="G282" s="66"/>
      <c r="H282" s="66"/>
    </row>
    <row r="283" spans="1:8" ht="18" customHeight="1">
      <c r="A283" s="66"/>
      <c r="B283" s="70" t="s">
        <v>108</v>
      </c>
      <c r="C283" s="66"/>
      <c r="D283" s="70" t="s">
        <v>108</v>
      </c>
      <c r="E283" s="66"/>
      <c r="F283" s="70" t="s">
        <v>108</v>
      </c>
      <c r="G283" s="66"/>
      <c r="H283" s="70" t="s">
        <v>108</v>
      </c>
    </row>
    <row r="284" spans="1:8" ht="16.5" customHeight="1">
      <c r="A284" s="69" t="s">
        <v>251</v>
      </c>
      <c r="B284" s="67">
        <f>B267</f>
        <v>1128988.0600000003</v>
      </c>
      <c r="C284" s="67">
        <f>C267</f>
        <v>0</v>
      </c>
      <c r="D284" s="67">
        <f>D267</f>
        <v>320152.9600000001</v>
      </c>
      <c r="E284" s="67">
        <f>E267</f>
        <v>0</v>
      </c>
      <c r="F284" s="67">
        <f>F267</f>
        <v>4744785.149999999</v>
      </c>
      <c r="G284" s="67">
        <f>G273</f>
        <v>0</v>
      </c>
      <c r="H284" s="67">
        <f>SUM(B284:G284)</f>
        <v>6193926.17</v>
      </c>
    </row>
    <row r="285" spans="1:8" ht="16.5" customHeight="1">
      <c r="A285" s="69" t="s">
        <v>244</v>
      </c>
      <c r="B285" s="67">
        <f>298594.73-166891.31-35414.29</f>
        <v>96289.12999999998</v>
      </c>
      <c r="C285" s="67"/>
      <c r="D285" s="67">
        <v>6258.05</v>
      </c>
      <c r="E285" s="67"/>
      <c r="F285" s="67">
        <v>0</v>
      </c>
      <c r="G285" s="67"/>
      <c r="H285" s="67">
        <f>B285+D285+F285</f>
        <v>102547.17999999998</v>
      </c>
    </row>
    <row r="286" spans="1:8" ht="16.5" customHeight="1">
      <c r="A286" s="69" t="s">
        <v>245</v>
      </c>
      <c r="B286" s="67">
        <f>B284+B285</f>
        <v>1225277.1900000002</v>
      </c>
      <c r="C286" s="67">
        <f aca="true" t="shared" si="2" ref="C286:H286">C284+C285</f>
        <v>0</v>
      </c>
      <c r="D286" s="67">
        <f t="shared" si="2"/>
        <v>326411.01000000007</v>
      </c>
      <c r="E286" s="67">
        <f t="shared" si="2"/>
        <v>0</v>
      </c>
      <c r="F286" s="67">
        <f t="shared" si="2"/>
        <v>4744785.149999999</v>
      </c>
      <c r="G286" s="67">
        <f t="shared" si="2"/>
        <v>0</v>
      </c>
      <c r="H286" s="67">
        <f t="shared" si="2"/>
        <v>6296473.35</v>
      </c>
    </row>
    <row r="287" spans="1:8" ht="16.5" customHeight="1">
      <c r="A287" s="66"/>
      <c r="B287" s="67"/>
      <c r="C287" s="67"/>
      <c r="D287" s="67"/>
      <c r="E287" s="67"/>
      <c r="F287" s="67"/>
      <c r="G287" s="67"/>
      <c r="H287" s="67"/>
    </row>
    <row r="288" spans="1:8" ht="16.5" customHeight="1">
      <c r="A288" s="69" t="s">
        <v>154</v>
      </c>
      <c r="B288" s="84" t="s">
        <v>253</v>
      </c>
      <c r="C288" s="67"/>
      <c r="D288" s="67"/>
      <c r="E288" s="67"/>
      <c r="F288" s="67"/>
      <c r="G288" s="67"/>
      <c r="H288" s="67"/>
    </row>
    <row r="289" spans="1:8" ht="16.5" customHeight="1">
      <c r="A289" s="69" t="s">
        <v>246</v>
      </c>
      <c r="B289" s="67">
        <f>B273</f>
        <v>525049.0600000003</v>
      </c>
      <c r="C289" s="67">
        <f>C273</f>
        <v>0</v>
      </c>
      <c r="D289" s="67">
        <f>D273</f>
        <v>144694.96</v>
      </c>
      <c r="E289" s="67">
        <f>E273</f>
        <v>0</v>
      </c>
      <c r="F289" s="67">
        <f>F273</f>
        <v>4053916.15</v>
      </c>
      <c r="G289" s="67"/>
      <c r="H289" s="67">
        <f>SUM(B289:F289)</f>
        <v>4723660.17</v>
      </c>
    </row>
    <row r="290" spans="1:8" ht="16.5" customHeight="1">
      <c r="A290" s="69" t="s">
        <v>247</v>
      </c>
      <c r="B290" s="67">
        <f>377065.73-166891.31+453.71</f>
        <v>210628.12999999998</v>
      </c>
      <c r="C290" s="67">
        <f>C271</f>
        <v>0</v>
      </c>
      <c r="D290" s="67">
        <v>35522.05</v>
      </c>
      <c r="E290" s="67">
        <f>E271</f>
        <v>0</v>
      </c>
      <c r="F290" s="67">
        <f>118953+26320</f>
        <v>145273</v>
      </c>
      <c r="G290" s="67"/>
      <c r="H290" s="67">
        <f>B290+D290+F290</f>
        <v>391423.18</v>
      </c>
    </row>
    <row r="291" spans="1:8" ht="16.5" customHeight="1">
      <c r="A291" s="69" t="s">
        <v>248</v>
      </c>
      <c r="B291" s="84">
        <f>B289+B290</f>
        <v>735677.1900000003</v>
      </c>
      <c r="C291" s="84">
        <f aca="true" t="shared" si="3" ref="C291:H291">C289+C290</f>
        <v>0</v>
      </c>
      <c r="D291" s="84">
        <f t="shared" si="3"/>
        <v>180217.01</v>
      </c>
      <c r="E291" s="84">
        <f t="shared" si="3"/>
        <v>0</v>
      </c>
      <c r="F291" s="84">
        <f t="shared" si="3"/>
        <v>4199189.15</v>
      </c>
      <c r="G291" s="84">
        <f t="shared" si="3"/>
        <v>0</v>
      </c>
      <c r="H291" s="84">
        <f t="shared" si="3"/>
        <v>5115083.35</v>
      </c>
    </row>
    <row r="292" spans="1:8" ht="16.5" customHeight="1">
      <c r="A292" s="66"/>
      <c r="B292" s="67"/>
      <c r="C292" s="67"/>
      <c r="D292" s="67"/>
      <c r="E292" s="67"/>
      <c r="F292" s="67"/>
      <c r="G292" s="67"/>
      <c r="H292" s="67"/>
    </row>
    <row r="293" spans="1:8" ht="16.5" customHeight="1">
      <c r="A293" s="66"/>
      <c r="B293" s="67"/>
      <c r="C293" s="67"/>
      <c r="D293" s="67"/>
      <c r="E293" s="67"/>
      <c r="F293" s="67"/>
      <c r="G293" s="67"/>
      <c r="H293" s="67"/>
    </row>
    <row r="294" spans="1:8" ht="16.5" customHeight="1">
      <c r="A294" s="69" t="s">
        <v>249</v>
      </c>
      <c r="B294" s="67">
        <f>B277</f>
        <v>603939</v>
      </c>
      <c r="C294" s="67"/>
      <c r="D294" s="67">
        <f>D277</f>
        <v>175458.0000000001</v>
      </c>
      <c r="E294" s="67"/>
      <c r="F294" s="67">
        <f>F277</f>
        <v>690868.9999999995</v>
      </c>
      <c r="G294" s="67"/>
      <c r="H294" s="67">
        <f>B294+D294+F294</f>
        <v>1470265.9999999995</v>
      </c>
    </row>
    <row r="295" spans="1:8" ht="16.5" customHeight="1">
      <c r="A295" s="86" t="s">
        <v>250</v>
      </c>
      <c r="B295" s="110">
        <f>B286-B291</f>
        <v>489599.9999999999</v>
      </c>
      <c r="C295" s="110">
        <f aca="true" t="shared" si="4" ref="C295:H295">C286-C291</f>
        <v>0</v>
      </c>
      <c r="D295" s="110">
        <f t="shared" si="4"/>
        <v>146194.00000000006</v>
      </c>
      <c r="E295" s="110">
        <f t="shared" si="4"/>
        <v>0</v>
      </c>
      <c r="F295" s="110">
        <f t="shared" si="4"/>
        <v>545595.9999999991</v>
      </c>
      <c r="G295" s="110">
        <f t="shared" si="4"/>
        <v>0</v>
      </c>
      <c r="H295" s="110">
        <f t="shared" si="4"/>
        <v>1181390</v>
      </c>
    </row>
    <row r="296" spans="2:8" ht="16.5" customHeight="1">
      <c r="B296" s="26"/>
      <c r="C296" s="26"/>
      <c r="D296" s="26"/>
      <c r="E296" s="26"/>
      <c r="F296" s="26"/>
      <c r="G296" s="26"/>
      <c r="H296" s="26"/>
    </row>
    <row r="297" spans="1:8" ht="6.75" customHeight="1" thickBot="1">
      <c r="A297" s="46"/>
      <c r="B297" s="56"/>
      <c r="C297" s="56"/>
      <c r="D297" s="56"/>
      <c r="E297" s="56"/>
      <c r="F297" s="56"/>
      <c r="G297" s="56"/>
      <c r="H297" s="56"/>
    </row>
    <row r="298" ht="16.5" customHeight="1"/>
    <row r="299" spans="1:8" ht="58.5" customHeight="1">
      <c r="A299" s="176" t="s">
        <v>264</v>
      </c>
      <c r="B299" s="175"/>
      <c r="C299" s="175"/>
      <c r="D299" s="175"/>
      <c r="E299" s="175"/>
      <c r="F299" s="175"/>
      <c r="G299" s="175"/>
      <c r="H299" s="175"/>
    </row>
    <row r="300" spans="1:8" ht="16.5" customHeight="1">
      <c r="A300" s="85"/>
      <c r="B300" s="85"/>
      <c r="C300" s="85"/>
      <c r="D300" s="85"/>
      <c r="E300" s="85"/>
      <c r="F300" s="85"/>
      <c r="G300" s="85"/>
      <c r="H300" s="85"/>
    </row>
    <row r="301" spans="1:8" ht="14.25">
      <c r="A301" s="85"/>
      <c r="B301" s="85"/>
      <c r="C301" s="85"/>
      <c r="D301" s="85"/>
      <c r="E301" s="85"/>
      <c r="F301" s="85"/>
      <c r="G301" s="85"/>
      <c r="H301" s="85"/>
    </row>
    <row r="302" spans="1:8" ht="15">
      <c r="A302" s="86" t="s">
        <v>157</v>
      </c>
      <c r="F302" s="116">
        <v>44926</v>
      </c>
      <c r="H302" s="44">
        <v>44561</v>
      </c>
    </row>
    <row r="303" spans="1:8" ht="14.25">
      <c r="A303" s="63" t="s">
        <v>172</v>
      </c>
      <c r="D303" s="87" t="s">
        <v>108</v>
      </c>
      <c r="E303" s="87"/>
      <c r="F303" s="67">
        <v>4000</v>
      </c>
      <c r="H303" s="26">
        <v>4000</v>
      </c>
    </row>
    <row r="304" spans="1:8" ht="14.25">
      <c r="A304" s="2" t="s">
        <v>135</v>
      </c>
      <c r="D304" s="23" t="s">
        <v>108</v>
      </c>
      <c r="E304" s="23"/>
      <c r="F304" s="67">
        <v>25000</v>
      </c>
      <c r="H304" s="26">
        <v>25000</v>
      </c>
    </row>
    <row r="305" spans="1:8" ht="15.75" thickBot="1">
      <c r="A305" s="29" t="s">
        <v>136</v>
      </c>
      <c r="B305" s="30"/>
      <c r="C305" s="30"/>
      <c r="D305" s="45" t="s">
        <v>108</v>
      </c>
      <c r="E305" s="45"/>
      <c r="F305" s="68">
        <f>SUM(F303:F304)</f>
        <v>29000</v>
      </c>
      <c r="G305" s="30"/>
      <c r="H305" s="31">
        <f>SUM(H303:H304)</f>
        <v>29000</v>
      </c>
    </row>
    <row r="306" ht="14.25">
      <c r="D306" s="47"/>
    </row>
    <row r="307" ht="14.25">
      <c r="D307" s="47"/>
    </row>
    <row r="308" spans="1:8" ht="39.75" customHeight="1">
      <c r="A308" s="178" t="s">
        <v>183</v>
      </c>
      <c r="B308" s="178"/>
      <c r="C308" s="178"/>
      <c r="D308" s="178"/>
      <c r="E308" s="178"/>
      <c r="F308" s="178"/>
      <c r="G308" s="178"/>
      <c r="H308" s="178"/>
    </row>
    <row r="309" spans="1:8" ht="36" customHeight="1">
      <c r="A309" s="178" t="s">
        <v>236</v>
      </c>
      <c r="B309" s="178"/>
      <c r="C309" s="178"/>
      <c r="D309" s="178"/>
      <c r="E309" s="178"/>
      <c r="F309" s="178"/>
      <c r="G309" s="178"/>
      <c r="H309" s="178"/>
    </row>
    <row r="310" ht="14.25"/>
    <row r="311" ht="14.25"/>
    <row r="312" spans="1:8" ht="15">
      <c r="A312" s="86" t="s">
        <v>223</v>
      </c>
      <c r="C312" s="66"/>
      <c r="D312" s="66"/>
      <c r="E312" s="66"/>
      <c r="F312" s="116">
        <v>44926</v>
      </c>
      <c r="G312" s="66"/>
      <c r="H312" s="116">
        <v>44561</v>
      </c>
    </row>
    <row r="313" spans="1:8" ht="14.25">
      <c r="A313" s="69" t="s">
        <v>187</v>
      </c>
      <c r="C313" s="70"/>
      <c r="D313" s="70" t="s">
        <v>108</v>
      </c>
      <c r="E313" s="70"/>
      <c r="F313" s="67">
        <v>14495.5</v>
      </c>
      <c r="G313" s="66"/>
      <c r="H313" s="67">
        <v>14136.2</v>
      </c>
    </row>
    <row r="314" spans="1:8" ht="14.25">
      <c r="A314" s="69" t="s">
        <v>149</v>
      </c>
      <c r="B314" s="69"/>
      <c r="C314" s="70"/>
      <c r="D314" s="70" t="s">
        <v>108</v>
      </c>
      <c r="E314" s="70"/>
      <c r="F314" s="67">
        <f>363457.44+30619.45+9470</f>
        <v>403546.89</v>
      </c>
      <c r="G314" s="66"/>
      <c r="H314" s="67">
        <v>373380.14</v>
      </c>
    </row>
    <row r="315" spans="1:8" ht="15.75" thickBot="1">
      <c r="A315" s="117" t="s">
        <v>148</v>
      </c>
      <c r="B315" s="117"/>
      <c r="C315" s="118"/>
      <c r="D315" s="118" t="s">
        <v>108</v>
      </c>
      <c r="E315" s="118"/>
      <c r="F315" s="68">
        <f>SUM(F313:F314)</f>
        <v>418042.39</v>
      </c>
      <c r="G315" s="117"/>
      <c r="H315" s="68">
        <f>SUM(H313:H314)</f>
        <v>387516.34</v>
      </c>
    </row>
    <row r="316" ht="14.25">
      <c r="B316" s="23"/>
    </row>
    <row r="317" ht="14.25">
      <c r="B317" s="23"/>
    </row>
    <row r="318" spans="1:6" ht="15">
      <c r="A318" s="138" t="s">
        <v>265</v>
      </c>
      <c r="B318" s="3"/>
      <c r="C318" s="3"/>
      <c r="D318" s="3"/>
      <c r="E318" s="3"/>
      <c r="F318" s="3"/>
    </row>
    <row r="319" spans="1:8" ht="63.75" customHeight="1">
      <c r="A319" s="178" t="s">
        <v>291</v>
      </c>
      <c r="B319" s="178"/>
      <c r="C319" s="178"/>
      <c r="D319" s="178"/>
      <c r="E319" s="178"/>
      <c r="F319" s="178"/>
      <c r="G319" s="178"/>
      <c r="H319" s="178"/>
    </row>
    <row r="320" ht="13.5" customHeight="1">
      <c r="B320" s="23"/>
    </row>
    <row r="321" ht="13.5" customHeight="1"/>
    <row r="322" ht="15">
      <c r="A322" s="24" t="s">
        <v>224</v>
      </c>
    </row>
    <row r="323" spans="6:8" ht="15">
      <c r="F323" s="44">
        <v>44926</v>
      </c>
      <c r="H323" s="44">
        <v>44561</v>
      </c>
    </row>
    <row r="324" spans="1:8" ht="15" customHeight="1">
      <c r="A324" s="2" t="s">
        <v>109</v>
      </c>
      <c r="D324" s="23" t="s">
        <v>108</v>
      </c>
      <c r="E324" s="23"/>
      <c r="F324" s="65">
        <v>38237.9</v>
      </c>
      <c r="H324" s="26">
        <v>38737.9</v>
      </c>
    </row>
    <row r="325" spans="1:8" ht="14.25">
      <c r="A325" s="69" t="s">
        <v>138</v>
      </c>
      <c r="B325" s="69"/>
      <c r="C325" s="69"/>
      <c r="D325" s="70" t="s">
        <v>108</v>
      </c>
      <c r="E325" s="70"/>
      <c r="F325" s="65">
        <v>88005.62</v>
      </c>
      <c r="G325" s="66"/>
      <c r="H325" s="67">
        <v>88005.62</v>
      </c>
    </row>
    <row r="326" spans="1:8" ht="14.25">
      <c r="A326" s="69" t="s">
        <v>208</v>
      </c>
      <c r="B326" s="69"/>
      <c r="C326" s="69"/>
      <c r="D326" s="70" t="s">
        <v>108</v>
      </c>
      <c r="E326" s="70"/>
      <c r="F326" s="65">
        <v>47419.3</v>
      </c>
      <c r="G326" s="66"/>
      <c r="H326" s="67">
        <v>47419.3</v>
      </c>
    </row>
    <row r="327" spans="1:8" ht="15">
      <c r="A327" s="49" t="s">
        <v>137</v>
      </c>
      <c r="B327" s="3"/>
      <c r="C327" s="49"/>
      <c r="D327" s="32"/>
      <c r="E327" s="32"/>
      <c r="F327" s="171"/>
      <c r="G327" s="32"/>
      <c r="H327" s="34"/>
    </row>
    <row r="328" spans="1:8" ht="27.75" customHeight="1" thickBot="1">
      <c r="A328" s="50" t="s">
        <v>71</v>
      </c>
      <c r="B328" s="50"/>
      <c r="C328" s="50"/>
      <c r="D328" s="51" t="s">
        <v>108</v>
      </c>
      <c r="E328" s="51"/>
      <c r="F328" s="57">
        <v>173662.82</v>
      </c>
      <c r="G328" s="57">
        <f>SUM(G324:G327)</f>
        <v>0</v>
      </c>
      <c r="H328" s="57">
        <f>SUM(H324:H327)</f>
        <v>174162.82</v>
      </c>
    </row>
    <row r="329" spans="1:6" ht="17.25" customHeight="1">
      <c r="A329" s="3"/>
      <c r="B329" s="3"/>
      <c r="C329" s="3"/>
      <c r="D329" s="3"/>
      <c r="E329" s="3"/>
      <c r="F329" s="3"/>
    </row>
    <row r="330" ht="15" customHeight="1">
      <c r="A330" s="53"/>
    </row>
    <row r="331" spans="1:8" ht="15">
      <c r="A331" s="163" t="s">
        <v>225</v>
      </c>
      <c r="B331" s="163"/>
      <c r="C331" s="163"/>
      <c r="D331" s="163"/>
      <c r="E331" s="163"/>
      <c r="F331" s="163"/>
      <c r="G331" s="163"/>
      <c r="H331" s="163"/>
    </row>
    <row r="332" spans="1:8" ht="37.5" customHeight="1">
      <c r="A332" s="176" t="s">
        <v>287</v>
      </c>
      <c r="B332" s="176"/>
      <c r="C332" s="176"/>
      <c r="D332" s="176"/>
      <c r="E332" s="176"/>
      <c r="F332" s="176"/>
      <c r="G332" s="176"/>
      <c r="H332" s="176"/>
    </row>
    <row r="333" ht="14.25">
      <c r="A333" s="53"/>
    </row>
    <row r="334" ht="14.25">
      <c r="A334" s="53"/>
    </row>
    <row r="335" spans="1:8" ht="18" customHeight="1">
      <c r="A335" s="177" t="s">
        <v>0</v>
      </c>
      <c r="B335" s="177"/>
      <c r="C335" s="177"/>
      <c r="D335" s="177"/>
      <c r="E335" s="177"/>
      <c r="F335" s="177"/>
      <c r="G335" s="177"/>
      <c r="H335" s="177"/>
    </row>
    <row r="336" ht="14.25">
      <c r="A336" s="53"/>
    </row>
    <row r="337" ht="14.25">
      <c r="A337" s="53"/>
    </row>
    <row r="338" spans="1:8" ht="15">
      <c r="A338" s="163" t="s">
        <v>226</v>
      </c>
      <c r="B338" s="163"/>
      <c r="C338" s="163"/>
      <c r="D338" s="163"/>
      <c r="E338" s="163"/>
      <c r="F338" s="163"/>
      <c r="G338" s="163"/>
      <c r="H338" s="163"/>
    </row>
    <row r="339" spans="1:8" ht="21" customHeight="1">
      <c r="A339" s="176" t="s">
        <v>292</v>
      </c>
      <c r="B339" s="176"/>
      <c r="C339" s="176"/>
      <c r="D339" s="176"/>
      <c r="E339" s="176"/>
      <c r="F339" s="176"/>
      <c r="G339" s="176"/>
      <c r="H339" s="176"/>
    </row>
    <row r="340" spans="1:6" ht="15" customHeight="1">
      <c r="A340" s="49"/>
      <c r="B340" s="48"/>
      <c r="C340" s="3"/>
      <c r="D340" s="62"/>
      <c r="E340" s="62"/>
      <c r="F340" s="62"/>
    </row>
    <row r="341" spans="1:8" ht="19.5" customHeight="1">
      <c r="A341" s="86" t="s">
        <v>227</v>
      </c>
      <c r="B341" s="23"/>
      <c r="F341" s="86">
        <v>2022</v>
      </c>
      <c r="H341" s="24">
        <v>2021</v>
      </c>
    </row>
    <row r="342" spans="1:8" ht="14.25">
      <c r="A342" s="63" t="s">
        <v>188</v>
      </c>
      <c r="B342" s="23"/>
      <c r="D342" s="23" t="s">
        <v>108</v>
      </c>
      <c r="E342" s="23"/>
      <c r="F342" s="67">
        <v>3837881.6</v>
      </c>
      <c r="H342" s="67">
        <v>3825860.45</v>
      </c>
    </row>
    <row r="343" spans="1:8" ht="14.25">
      <c r="A343" s="69" t="s">
        <v>191</v>
      </c>
      <c r="B343" s="70"/>
      <c r="C343" s="66"/>
      <c r="D343" s="87" t="s">
        <v>108</v>
      </c>
      <c r="E343" s="87"/>
      <c r="F343" s="67">
        <v>0</v>
      </c>
      <c r="H343" s="67">
        <v>29000</v>
      </c>
    </row>
    <row r="344" spans="1:8" ht="14.25">
      <c r="A344" s="63" t="s">
        <v>189</v>
      </c>
      <c r="B344" s="23"/>
      <c r="D344" s="23" t="s">
        <v>108</v>
      </c>
      <c r="E344" s="23"/>
      <c r="F344" s="67">
        <v>530205</v>
      </c>
      <c r="H344" s="67">
        <v>529765</v>
      </c>
    </row>
    <row r="345" spans="1:8" ht="12.75" customHeight="1">
      <c r="A345" s="63" t="s">
        <v>209</v>
      </c>
      <c r="B345" s="23"/>
      <c r="D345" s="23" t="s">
        <v>108</v>
      </c>
      <c r="E345" s="23"/>
      <c r="F345" s="67">
        <v>0</v>
      </c>
      <c r="H345" s="67">
        <v>-1025</v>
      </c>
    </row>
    <row r="346" spans="1:8" ht="15.75" thickBot="1">
      <c r="A346" s="29" t="s">
        <v>190</v>
      </c>
      <c r="B346" s="45"/>
      <c r="C346" s="30"/>
      <c r="D346" s="103" t="s">
        <v>108</v>
      </c>
      <c r="E346" s="103"/>
      <c r="F346" s="104">
        <f>SUM(F342:F345)</f>
        <v>4368086.6</v>
      </c>
      <c r="G346" s="30"/>
      <c r="H346" s="104">
        <f>SUM(H342:H345)</f>
        <v>4383600.45</v>
      </c>
    </row>
    <row r="347" spans="1:8" s="66" customFormat="1" ht="15">
      <c r="A347" s="49"/>
      <c r="B347" s="48"/>
      <c r="C347" s="3"/>
      <c r="D347" s="2"/>
      <c r="E347" s="2"/>
      <c r="F347" s="2"/>
      <c r="G347" s="2"/>
      <c r="H347" s="2"/>
    </row>
    <row r="348" spans="1:8" s="66" customFormat="1" ht="59.25" customHeight="1">
      <c r="A348" s="176" t="s">
        <v>266</v>
      </c>
      <c r="B348" s="176"/>
      <c r="C348" s="176"/>
      <c r="D348" s="176"/>
      <c r="E348" s="176"/>
      <c r="F348" s="176"/>
      <c r="G348" s="176"/>
      <c r="H348" s="176"/>
    </row>
    <row r="349" ht="14.25" customHeight="1"/>
    <row r="350" spans="1:8" ht="15" customHeight="1">
      <c r="A350" s="163" t="s">
        <v>228</v>
      </c>
      <c r="B350" s="163"/>
      <c r="C350" s="163"/>
      <c r="D350" s="163"/>
      <c r="E350" s="163"/>
      <c r="F350" s="163"/>
      <c r="G350" s="163"/>
      <c r="H350" s="163"/>
    </row>
    <row r="351" spans="1:8" ht="73.5" customHeight="1">
      <c r="A351" s="176" t="s">
        <v>279</v>
      </c>
      <c r="B351" s="176"/>
      <c r="C351" s="176"/>
      <c r="D351" s="176"/>
      <c r="E351" s="176"/>
      <c r="F351" s="176"/>
      <c r="G351" s="176"/>
      <c r="H351" s="176"/>
    </row>
    <row r="352" ht="14.25">
      <c r="A352" s="141"/>
    </row>
    <row r="353" ht="15">
      <c r="A353" s="86" t="s">
        <v>229</v>
      </c>
    </row>
    <row r="354" spans="1:8" ht="17.25" customHeight="1">
      <c r="A354" s="63" t="s">
        <v>1</v>
      </c>
      <c r="F354" s="86">
        <v>2022</v>
      </c>
      <c r="H354" s="24">
        <v>2021</v>
      </c>
    </row>
    <row r="355" ht="14.25">
      <c r="F355" s="66"/>
    </row>
    <row r="356" spans="1:8" ht="14.25">
      <c r="A356" s="2" t="s">
        <v>2</v>
      </c>
      <c r="D356" s="23" t="s">
        <v>108</v>
      </c>
      <c r="E356" s="23"/>
      <c r="F356" s="67">
        <v>1628999.88</v>
      </c>
      <c r="H356" s="67">
        <f>1768428.11-H357</f>
        <v>1534775.06</v>
      </c>
    </row>
    <row r="357" spans="1:8" ht="15" customHeight="1">
      <c r="A357" s="63" t="s">
        <v>173</v>
      </c>
      <c r="D357" s="87" t="s">
        <v>108</v>
      </c>
      <c r="E357" s="87"/>
      <c r="F357" s="67">
        <v>280770.9</v>
      </c>
      <c r="H357" s="67">
        <v>233653.05</v>
      </c>
    </row>
    <row r="358" spans="1:8" ht="14.25">
      <c r="A358" s="69" t="s">
        <v>160</v>
      </c>
      <c r="D358" s="23" t="s">
        <v>108</v>
      </c>
      <c r="E358" s="23"/>
      <c r="F358" s="67">
        <v>479448.11</v>
      </c>
      <c r="H358" s="67">
        <f>72888.05+79355.35+79779.85+98947.25+8435.95+27468.6+25</f>
        <v>366900.05</v>
      </c>
    </row>
    <row r="359" spans="1:8" ht="14.25">
      <c r="A359" s="63" t="s">
        <v>174</v>
      </c>
      <c r="D359" s="23" t="s">
        <v>108</v>
      </c>
      <c r="E359" s="23"/>
      <c r="F359" s="67">
        <v>603533</v>
      </c>
      <c r="H359" s="67">
        <v>515617.07</v>
      </c>
    </row>
    <row r="360" spans="1:8" ht="14.25">
      <c r="A360" s="2" t="s">
        <v>3</v>
      </c>
      <c r="D360" s="23" t="s">
        <v>108</v>
      </c>
      <c r="E360" s="23"/>
      <c r="F360" s="67">
        <f>1700522.92+22409.02</f>
        <v>1722931.94</v>
      </c>
      <c r="H360" s="67">
        <v>1703001.5</v>
      </c>
    </row>
    <row r="361" spans="1:8" ht="13.5" customHeight="1">
      <c r="A361" s="2" t="s">
        <v>4</v>
      </c>
      <c r="D361" s="23" t="s">
        <v>108</v>
      </c>
      <c r="E361" s="23"/>
      <c r="F361" s="67">
        <v>1440154.29</v>
      </c>
      <c r="H361" s="26">
        <v>1147879.66</v>
      </c>
    </row>
    <row r="362" spans="1:8" ht="15" customHeight="1">
      <c r="A362" s="2" t="s">
        <v>5</v>
      </c>
      <c r="D362" s="23" t="s">
        <v>108</v>
      </c>
      <c r="E362" s="23"/>
      <c r="F362" s="67">
        <v>985603.52</v>
      </c>
      <c r="H362" s="26">
        <v>890122.65</v>
      </c>
    </row>
    <row r="363" spans="1:8" ht="14.25">
      <c r="A363" s="69" t="s">
        <v>161</v>
      </c>
      <c r="D363" s="23" t="s">
        <v>108</v>
      </c>
      <c r="E363" s="23"/>
      <c r="F363" s="67">
        <v>48722.05</v>
      </c>
      <c r="H363" s="26">
        <v>48536.85</v>
      </c>
    </row>
    <row r="364" spans="1:8" ht="14.25">
      <c r="A364" s="2" t="s">
        <v>6</v>
      </c>
      <c r="D364" s="23" t="s">
        <v>108</v>
      </c>
      <c r="E364" s="23"/>
      <c r="F364" s="67">
        <v>636630.37</v>
      </c>
      <c r="H364" s="26">
        <f>673532.2-H363</f>
        <v>624995.35</v>
      </c>
    </row>
    <row r="365" spans="1:8" s="66" customFormat="1" ht="15.75" thickBot="1">
      <c r="A365" s="29" t="s">
        <v>7</v>
      </c>
      <c r="B365" s="29"/>
      <c r="C365" s="29"/>
      <c r="D365" s="45" t="s">
        <v>108</v>
      </c>
      <c r="E365" s="45"/>
      <c r="F365" s="68">
        <f>SUM(F356:F364)</f>
        <v>7826794.0600000005</v>
      </c>
      <c r="G365" s="29"/>
      <c r="H365" s="31">
        <f>SUM(H356:H364)</f>
        <v>7065481.24</v>
      </c>
    </row>
    <row r="366" spans="4:8" ht="14.25">
      <c r="D366" s="23"/>
      <c r="F366" s="65" t="s">
        <v>253</v>
      </c>
      <c r="G366" s="26"/>
      <c r="H366" s="26"/>
    </row>
    <row r="367" spans="1:8" ht="99.75" customHeight="1">
      <c r="A367" s="176" t="s">
        <v>285</v>
      </c>
      <c r="B367" s="176"/>
      <c r="C367" s="176"/>
      <c r="D367" s="176"/>
      <c r="E367" s="176"/>
      <c r="F367" s="176"/>
      <c r="G367" s="176"/>
      <c r="H367" s="176"/>
    </row>
    <row r="368" spans="1:8" ht="15" customHeight="1">
      <c r="A368" s="126"/>
      <c r="B368" s="132" t="s">
        <v>253</v>
      </c>
      <c r="C368" s="126"/>
      <c r="D368" s="127"/>
      <c r="E368" s="126"/>
      <c r="F368" s="128" t="s">
        <v>253</v>
      </c>
      <c r="G368" s="128"/>
      <c r="H368" s="128" t="s">
        <v>253</v>
      </c>
    </row>
    <row r="369" spans="1:8" ht="18" customHeight="1">
      <c r="A369" s="163" t="s">
        <v>233</v>
      </c>
      <c r="B369" s="163"/>
      <c r="C369" s="163"/>
      <c r="D369" s="163"/>
      <c r="E369" s="163"/>
      <c r="F369" s="163"/>
      <c r="G369" s="163"/>
      <c r="H369" s="163"/>
    </row>
    <row r="370" spans="1:8" ht="22.5" customHeight="1">
      <c r="A370" s="176" t="s">
        <v>269</v>
      </c>
      <c r="B370" s="176"/>
      <c r="C370" s="176"/>
      <c r="D370" s="176"/>
      <c r="E370" s="176"/>
      <c r="F370" s="176"/>
      <c r="G370" s="176"/>
      <c r="H370" s="176"/>
    </row>
    <row r="371" spans="1:8" ht="15" customHeight="1">
      <c r="A371" s="63"/>
      <c r="D371" s="23"/>
      <c r="F371" s="26"/>
      <c r="G371" s="26"/>
      <c r="H371" s="26"/>
    </row>
    <row r="372" spans="1:8" ht="15">
      <c r="A372" s="163" t="s">
        <v>232</v>
      </c>
      <c r="B372" s="163"/>
      <c r="C372" s="163"/>
      <c r="D372" s="163"/>
      <c r="E372" s="163"/>
      <c r="F372" s="163"/>
      <c r="G372" s="163"/>
      <c r="H372" s="163"/>
    </row>
    <row r="373" spans="1:8" ht="93.75" customHeight="1">
      <c r="A373" s="176" t="s">
        <v>259</v>
      </c>
      <c r="B373" s="176"/>
      <c r="C373" s="176"/>
      <c r="D373" s="176"/>
      <c r="E373" s="176"/>
      <c r="F373" s="176"/>
      <c r="G373" s="176"/>
      <c r="H373" s="176"/>
    </row>
    <row r="374" spans="4:8" ht="18" customHeight="1">
      <c r="D374" s="23"/>
      <c r="F374" s="26"/>
      <c r="G374" s="26"/>
      <c r="H374" s="26"/>
    </row>
    <row r="375" ht="14.25">
      <c r="D375" s="23"/>
    </row>
    <row r="376" spans="1:8" ht="15">
      <c r="A376" s="86" t="s">
        <v>272</v>
      </c>
      <c r="D376" s="23"/>
      <c r="E376" s="23"/>
      <c r="F376" s="86">
        <v>2022</v>
      </c>
      <c r="H376" s="24">
        <v>2021</v>
      </c>
    </row>
    <row r="377" spans="1:8" ht="15.75" customHeight="1">
      <c r="A377" s="54" t="s">
        <v>234</v>
      </c>
      <c r="D377" s="23" t="s">
        <v>108</v>
      </c>
      <c r="E377" s="23"/>
      <c r="F377" s="67">
        <v>79119</v>
      </c>
      <c r="H377" s="26">
        <v>79704</v>
      </c>
    </row>
    <row r="378" spans="1:8" ht="15.75" customHeight="1">
      <c r="A378" s="2" t="s">
        <v>35</v>
      </c>
      <c r="D378" s="23" t="s">
        <v>108</v>
      </c>
      <c r="E378" s="23"/>
      <c r="F378" s="67">
        <v>4000</v>
      </c>
      <c r="H378" s="26">
        <v>4000</v>
      </c>
    </row>
    <row r="379" spans="1:8" ht="15.75" customHeight="1">
      <c r="A379" s="63" t="s">
        <v>144</v>
      </c>
      <c r="D379" s="23" t="s">
        <v>108</v>
      </c>
      <c r="E379" s="23"/>
      <c r="F379" s="67">
        <v>0</v>
      </c>
      <c r="H379" s="26">
        <v>0</v>
      </c>
    </row>
    <row r="380" spans="1:8" ht="15.75" customHeight="1">
      <c r="A380" s="54" t="s">
        <v>175</v>
      </c>
      <c r="B380" s="54"/>
      <c r="C380" s="54"/>
      <c r="D380" s="78" t="s">
        <v>108</v>
      </c>
      <c r="E380" s="78"/>
      <c r="F380" s="125">
        <v>2000</v>
      </c>
      <c r="G380" s="54"/>
      <c r="H380" s="79">
        <v>0</v>
      </c>
    </row>
    <row r="381" spans="1:8" ht="15.75" customHeight="1">
      <c r="A381" s="54" t="s">
        <v>176</v>
      </c>
      <c r="B381" s="54"/>
      <c r="C381" s="54"/>
      <c r="D381" s="78" t="s">
        <v>108</v>
      </c>
      <c r="E381" s="78"/>
      <c r="F381" s="125">
        <v>2077</v>
      </c>
      <c r="G381" s="54"/>
      <c r="H381" s="79">
        <v>3177.15</v>
      </c>
    </row>
    <row r="382" spans="1:8" ht="15.75" customHeight="1">
      <c r="A382" s="54" t="s">
        <v>177</v>
      </c>
      <c r="B382" s="54"/>
      <c r="C382" s="54"/>
      <c r="D382" s="78" t="s">
        <v>108</v>
      </c>
      <c r="E382" s="78"/>
      <c r="F382" s="125">
        <v>1497</v>
      </c>
      <c r="G382" s="54"/>
      <c r="H382" s="79">
        <v>963.95</v>
      </c>
    </row>
    <row r="383" spans="1:8" s="66" customFormat="1" ht="15.75" customHeight="1">
      <c r="A383" s="54" t="s">
        <v>222</v>
      </c>
      <c r="B383" s="54"/>
      <c r="C383" s="54"/>
      <c r="D383" s="78" t="s">
        <v>108</v>
      </c>
      <c r="E383" s="78"/>
      <c r="F383" s="125">
        <v>1500</v>
      </c>
      <c r="G383" s="54"/>
      <c r="H383" s="79">
        <v>1500</v>
      </c>
    </row>
    <row r="384" spans="1:8" ht="15.75" customHeight="1">
      <c r="A384" s="54" t="s">
        <v>139</v>
      </c>
      <c r="B384" s="54"/>
      <c r="C384" s="54"/>
      <c r="D384" s="78" t="s">
        <v>108</v>
      </c>
      <c r="E384" s="78"/>
      <c r="F384" s="125">
        <v>0</v>
      </c>
      <c r="G384" s="54"/>
      <c r="H384" s="79">
        <v>0</v>
      </c>
    </row>
    <row r="385" spans="1:8" ht="15.75" customHeight="1">
      <c r="A385" s="54" t="s">
        <v>192</v>
      </c>
      <c r="B385" s="54"/>
      <c r="C385" s="54"/>
      <c r="D385" s="78" t="s">
        <v>108</v>
      </c>
      <c r="E385" s="78"/>
      <c r="F385" s="125">
        <v>1000</v>
      </c>
      <c r="G385" s="54"/>
      <c r="H385" s="79">
        <v>1000</v>
      </c>
    </row>
    <row r="386" spans="1:8" ht="15.75" customHeight="1">
      <c r="A386" s="2" t="s">
        <v>36</v>
      </c>
      <c r="D386" s="23" t="s">
        <v>108</v>
      </c>
      <c r="E386" s="23"/>
      <c r="F386" s="67">
        <v>8162.95</v>
      </c>
      <c r="H386" s="26">
        <f>5950+1050</f>
        <v>7000</v>
      </c>
    </row>
    <row r="387" spans="1:8" ht="17.25" customHeight="1" thickBot="1">
      <c r="A387" s="29" t="s">
        <v>8</v>
      </c>
      <c r="B387" s="29"/>
      <c r="C387" s="29"/>
      <c r="D387" s="45" t="s">
        <v>108</v>
      </c>
      <c r="E387" s="45"/>
      <c r="F387" s="68">
        <f>SUM(F377:F386)</f>
        <v>99355.95</v>
      </c>
      <c r="G387" s="29"/>
      <c r="H387" s="31">
        <f>SUM(H377:H386)</f>
        <v>97345.09999999999</v>
      </c>
    </row>
    <row r="388" ht="14.25" customHeight="1">
      <c r="D388" s="23"/>
    </row>
    <row r="389" ht="13.5" customHeight="1">
      <c r="D389" s="23"/>
    </row>
    <row r="390" spans="1:8" s="66" customFormat="1" ht="25.5" customHeight="1">
      <c r="A390" s="86" t="s">
        <v>273</v>
      </c>
      <c r="B390" s="2"/>
      <c r="C390" s="2"/>
      <c r="D390" s="23"/>
      <c r="E390" s="23"/>
      <c r="F390" s="86">
        <v>2022</v>
      </c>
      <c r="G390" s="2"/>
      <c r="H390" s="24">
        <v>2021</v>
      </c>
    </row>
    <row r="391" spans="1:8" ht="14.25">
      <c r="A391" s="63" t="s">
        <v>267</v>
      </c>
      <c r="D391" s="23"/>
      <c r="E391" s="23"/>
      <c r="F391" s="67"/>
      <c r="H391" s="26"/>
    </row>
    <row r="392" spans="1:8" ht="14.25">
      <c r="A392" s="2" t="s">
        <v>39</v>
      </c>
      <c r="D392" s="23" t="s">
        <v>108</v>
      </c>
      <c r="E392" s="23"/>
      <c r="F392" s="67">
        <f>B290</f>
        <v>210628.12999999998</v>
      </c>
      <c r="H392" s="67">
        <v>310869.91</v>
      </c>
    </row>
    <row r="393" spans="1:8" ht="14.25">
      <c r="A393" s="2" t="s">
        <v>9</v>
      </c>
      <c r="D393" s="23" t="s">
        <v>108</v>
      </c>
      <c r="E393" s="23"/>
      <c r="F393" s="67">
        <f>D290</f>
        <v>35522.05</v>
      </c>
      <c r="H393" s="67">
        <v>23542.18</v>
      </c>
    </row>
    <row r="394" spans="1:8" s="66" customFormat="1" ht="19.5" customHeight="1" thickBot="1">
      <c r="A394" s="29" t="s">
        <v>10</v>
      </c>
      <c r="B394" s="29"/>
      <c r="C394" s="29"/>
      <c r="D394" s="45" t="s">
        <v>108</v>
      </c>
      <c r="E394" s="45"/>
      <c r="F394" s="68">
        <f>SUM(F392:F393)</f>
        <v>246150.18</v>
      </c>
      <c r="G394" s="29"/>
      <c r="H394" s="31">
        <f>SUM(H392:H393)</f>
        <v>334412.08999999997</v>
      </c>
    </row>
    <row r="395" ht="14.25">
      <c r="D395" s="23"/>
    </row>
    <row r="396" ht="9.75" customHeight="1">
      <c r="D396" s="23"/>
    </row>
    <row r="397" spans="1:4" ht="15">
      <c r="A397" s="86" t="s">
        <v>274</v>
      </c>
      <c r="D397" s="23"/>
    </row>
    <row r="398" spans="1:8" ht="33" customHeight="1">
      <c r="A398" s="176" t="s">
        <v>205</v>
      </c>
      <c r="B398" s="176"/>
      <c r="C398" s="176"/>
      <c r="D398" s="176"/>
      <c r="E398" s="176"/>
      <c r="F398" s="176"/>
      <c r="G398" s="176"/>
      <c r="H398" s="176"/>
    </row>
    <row r="399" spans="1:8" ht="14.25">
      <c r="A399" s="85"/>
      <c r="B399" s="85"/>
      <c r="C399" s="85"/>
      <c r="D399" s="85"/>
      <c r="E399" s="85"/>
      <c r="F399" s="85"/>
      <c r="G399" s="85"/>
      <c r="H399" s="85"/>
    </row>
    <row r="400" spans="1:8" ht="3.75" customHeight="1">
      <c r="A400" s="85"/>
      <c r="B400" s="85"/>
      <c r="C400" s="85"/>
      <c r="D400" s="85"/>
      <c r="E400" s="85"/>
      <c r="F400" s="85"/>
      <c r="G400" s="85"/>
      <c r="H400" s="85"/>
    </row>
    <row r="401" spans="1:8" s="54" customFormat="1" ht="15">
      <c r="A401" s="86" t="s">
        <v>275</v>
      </c>
      <c r="B401" s="2"/>
      <c r="C401" s="2"/>
      <c r="D401" s="23"/>
      <c r="E401" s="2"/>
      <c r="F401" s="2"/>
      <c r="G401" s="2"/>
      <c r="H401" s="2"/>
    </row>
    <row r="402" spans="1:8" s="54" customFormat="1" ht="15">
      <c r="A402" s="24"/>
      <c r="B402" s="2"/>
      <c r="C402" s="2"/>
      <c r="D402" s="23"/>
      <c r="E402" s="23"/>
      <c r="F402" s="86">
        <v>2022</v>
      </c>
      <c r="G402" s="2"/>
      <c r="H402" s="24">
        <v>2021</v>
      </c>
    </row>
    <row r="403" spans="1:8" s="54" customFormat="1" ht="14.25">
      <c r="A403" s="2" t="s">
        <v>11</v>
      </c>
      <c r="B403" s="2"/>
      <c r="C403" s="2"/>
      <c r="D403" s="23"/>
      <c r="E403" s="23"/>
      <c r="F403" s="67"/>
      <c r="G403" s="2"/>
      <c r="H403" s="26"/>
    </row>
    <row r="404" spans="1:8" s="54" customFormat="1" ht="14.25">
      <c r="A404" s="2" t="s">
        <v>12</v>
      </c>
      <c r="B404" s="2"/>
      <c r="C404" s="2"/>
      <c r="D404" s="23" t="s">
        <v>108</v>
      </c>
      <c r="E404" s="23"/>
      <c r="F404" s="67">
        <v>-264.19</v>
      </c>
      <c r="G404" s="2"/>
      <c r="H404" s="26">
        <v>23.87</v>
      </c>
    </row>
    <row r="405" spans="1:8" s="54" customFormat="1" ht="14.25">
      <c r="A405" s="2" t="s">
        <v>13</v>
      </c>
      <c r="B405" s="2"/>
      <c r="C405" s="2"/>
      <c r="D405" s="23" t="s">
        <v>108</v>
      </c>
      <c r="E405" s="23"/>
      <c r="F405" s="67">
        <v>-6774.98</v>
      </c>
      <c r="G405" s="2"/>
      <c r="H405" s="26">
        <v>-3423.38</v>
      </c>
    </row>
    <row r="406" spans="1:8" s="54" customFormat="1" ht="15.75" thickBot="1">
      <c r="A406" s="29" t="s">
        <v>44</v>
      </c>
      <c r="B406" s="29"/>
      <c r="C406" s="29"/>
      <c r="D406" s="45" t="s">
        <v>108</v>
      </c>
      <c r="E406" s="45"/>
      <c r="F406" s="68">
        <f>SUM(F404:F405)</f>
        <v>-7039.169999999999</v>
      </c>
      <c r="G406" s="29"/>
      <c r="H406" s="31">
        <f>SUM(H404:H405)</f>
        <v>-3399.51</v>
      </c>
    </row>
    <row r="407" spans="1:4" ht="15">
      <c r="A407" s="24"/>
      <c r="D407" s="23"/>
    </row>
    <row r="408" spans="1:8" ht="8.25" customHeight="1">
      <c r="A408" s="24"/>
      <c r="D408" s="23"/>
      <c r="F408" s="24"/>
      <c r="G408" s="24"/>
      <c r="H408" s="24"/>
    </row>
    <row r="409" ht="9.75" customHeight="1">
      <c r="D409" s="23"/>
    </row>
    <row r="410" spans="1:4" ht="15">
      <c r="A410" s="86" t="s">
        <v>276</v>
      </c>
      <c r="D410" s="23"/>
    </row>
    <row r="411" spans="1:8" ht="15">
      <c r="A411" s="24"/>
      <c r="D411" s="23"/>
      <c r="E411" s="23"/>
      <c r="F411" s="86">
        <v>2022</v>
      </c>
      <c r="H411" s="24">
        <v>2021</v>
      </c>
    </row>
    <row r="412" spans="1:6" ht="15">
      <c r="A412" s="24"/>
      <c r="D412" s="23"/>
      <c r="E412" s="23"/>
      <c r="F412" s="66"/>
    </row>
    <row r="413" spans="1:8" ht="14.25">
      <c r="A413" s="63" t="s">
        <v>202</v>
      </c>
      <c r="D413" s="23" t="s">
        <v>108</v>
      </c>
      <c r="E413" s="23"/>
      <c r="F413" s="67">
        <f>-55023.45-218382.45</f>
        <v>-273405.9</v>
      </c>
      <c r="H413" s="26">
        <v>-314903.83</v>
      </c>
    </row>
    <row r="414" spans="1:8" ht="14.25">
      <c r="A414" s="63" t="s">
        <v>203</v>
      </c>
      <c r="D414" s="23" t="s">
        <v>108</v>
      </c>
      <c r="E414" s="23"/>
      <c r="F414" s="67">
        <f>143200+61500</f>
        <v>204700</v>
      </c>
      <c r="H414" s="26">
        <v>188200</v>
      </c>
    </row>
    <row r="415" spans="1:8" ht="18" customHeight="1" thickBot="1">
      <c r="A415" s="24" t="s">
        <v>204</v>
      </c>
      <c r="D415" s="45" t="s">
        <v>108</v>
      </c>
      <c r="E415" s="45"/>
      <c r="F415" s="68">
        <f>SUM(F413:F414)</f>
        <v>-68705.90000000002</v>
      </c>
      <c r="G415" s="29"/>
      <c r="H415" s="31">
        <f>SUM(H413:H414)</f>
        <v>-126703.83000000002</v>
      </c>
    </row>
    <row r="416" spans="1:4" ht="30" customHeight="1">
      <c r="A416" s="24"/>
      <c r="D416" s="48"/>
    </row>
    <row r="417" spans="1:8" ht="34.5" customHeight="1">
      <c r="A417" s="176" t="s">
        <v>255</v>
      </c>
      <c r="B417" s="176"/>
      <c r="C417" s="176"/>
      <c r="D417" s="176"/>
      <c r="E417" s="176"/>
      <c r="F417" s="176"/>
      <c r="G417" s="176"/>
      <c r="H417" s="176"/>
    </row>
    <row r="418" spans="1:4" ht="12" customHeight="1">
      <c r="A418" s="53"/>
      <c r="D418" s="23"/>
    </row>
    <row r="419" spans="1:4" ht="21" customHeight="1">
      <c r="A419" s="24" t="s">
        <v>277</v>
      </c>
      <c r="D419" s="23"/>
    </row>
    <row r="420" spans="1:8" ht="16.5" customHeight="1">
      <c r="A420" s="176" t="s">
        <v>256</v>
      </c>
      <c r="B420" s="176"/>
      <c r="C420" s="176"/>
      <c r="D420" s="176"/>
      <c r="E420" s="176"/>
      <c r="F420" s="176"/>
      <c r="G420" s="176"/>
      <c r="H420" s="176"/>
    </row>
    <row r="421" spans="1:4" ht="12" customHeight="1">
      <c r="A421" s="53"/>
      <c r="D421" s="23"/>
    </row>
    <row r="422" spans="1:4" ht="15">
      <c r="A422" s="24" t="s">
        <v>14</v>
      </c>
      <c r="D422" s="23"/>
    </row>
    <row r="423" spans="1:8" ht="33.75" customHeight="1">
      <c r="A423" s="176" t="s">
        <v>15</v>
      </c>
      <c r="B423" s="176"/>
      <c r="C423" s="176"/>
      <c r="D423" s="176"/>
      <c r="E423" s="176"/>
      <c r="F423" s="176"/>
      <c r="G423" s="176"/>
      <c r="H423" s="176"/>
    </row>
    <row r="424" spans="1:4" ht="14.25">
      <c r="A424" s="53"/>
      <c r="D424" s="23"/>
    </row>
    <row r="425" spans="1:4" ht="28.5" customHeight="1">
      <c r="A425" s="24" t="s">
        <v>261</v>
      </c>
      <c r="D425" s="23"/>
    </row>
    <row r="426" spans="1:4" ht="12" customHeight="1">
      <c r="A426" s="53"/>
      <c r="D426" s="23"/>
    </row>
    <row r="427" spans="1:4" ht="15">
      <c r="A427" s="24" t="s">
        <v>278</v>
      </c>
      <c r="D427" s="23"/>
    </row>
    <row r="428" spans="1:8" ht="23.25" customHeight="1">
      <c r="A428" s="176" t="s">
        <v>16</v>
      </c>
      <c r="B428" s="176"/>
      <c r="C428" s="176"/>
      <c r="D428" s="176"/>
      <c r="E428" s="176"/>
      <c r="F428" s="176"/>
      <c r="G428" s="176"/>
      <c r="H428" s="176"/>
    </row>
    <row r="429" spans="1:8" ht="14.25">
      <c r="A429" s="60"/>
      <c r="B429" s="60"/>
      <c r="C429" s="60"/>
      <c r="D429" s="60"/>
      <c r="E429" s="60"/>
      <c r="F429" s="60"/>
      <c r="G429" s="60"/>
      <c r="H429" s="60"/>
    </row>
    <row r="430" spans="1:8" ht="14.25">
      <c r="A430" s="60"/>
      <c r="B430" s="60"/>
      <c r="C430" s="60"/>
      <c r="D430" s="60"/>
      <c r="E430" s="60"/>
      <c r="F430" s="60"/>
      <c r="G430" s="60"/>
      <c r="H430" s="60"/>
    </row>
    <row r="431" spans="1:8" ht="15">
      <c r="A431" s="92" t="s">
        <v>171</v>
      </c>
      <c r="B431" s="60"/>
      <c r="C431" s="60"/>
      <c r="D431" s="60"/>
      <c r="E431" s="60"/>
      <c r="F431" s="60"/>
      <c r="G431" s="60"/>
      <c r="H431" s="60"/>
    </row>
    <row r="432" spans="1:8" ht="15">
      <c r="A432" s="92"/>
      <c r="B432" s="60"/>
      <c r="C432" s="60"/>
      <c r="D432" s="60"/>
      <c r="E432" s="60"/>
      <c r="F432" s="60"/>
      <c r="G432" s="60"/>
      <c r="H432" s="60"/>
    </row>
    <row r="433" spans="1:8" ht="15">
      <c r="A433" s="137" t="s">
        <v>270</v>
      </c>
      <c r="B433" s="60"/>
      <c r="C433" s="60"/>
      <c r="D433" s="60"/>
      <c r="E433" s="60"/>
      <c r="F433" s="60"/>
      <c r="G433" s="60"/>
      <c r="H433" s="60"/>
    </row>
    <row r="434" spans="1:8" ht="93.75" customHeight="1">
      <c r="A434" s="176" t="s">
        <v>271</v>
      </c>
      <c r="B434" s="176"/>
      <c r="C434" s="176"/>
      <c r="D434" s="176"/>
      <c r="E434" s="176"/>
      <c r="F434" s="176"/>
      <c r="G434" s="176"/>
      <c r="H434" s="176"/>
    </row>
    <row r="435" spans="1:8" ht="15">
      <c r="A435" s="93"/>
      <c r="B435" s="111"/>
      <c r="C435" s="111"/>
      <c r="D435" s="111"/>
      <c r="E435" s="111"/>
      <c r="F435" s="111"/>
      <c r="G435" s="111"/>
      <c r="H435" s="111"/>
    </row>
    <row r="436" spans="1:8" ht="15">
      <c r="A436" s="137" t="s">
        <v>178</v>
      </c>
      <c r="B436" s="60"/>
      <c r="C436" s="60"/>
      <c r="D436" s="60"/>
      <c r="E436" s="60"/>
      <c r="F436" s="60"/>
      <c r="G436" s="60"/>
      <c r="H436" s="60"/>
    </row>
    <row r="437" spans="1:8" ht="38.25" customHeight="1">
      <c r="A437" s="176" t="s">
        <v>201</v>
      </c>
      <c r="B437" s="176"/>
      <c r="C437" s="176"/>
      <c r="D437" s="176"/>
      <c r="E437" s="176"/>
      <c r="F437" s="176"/>
      <c r="G437" s="176"/>
      <c r="H437" s="176"/>
    </row>
    <row r="438" spans="1:8" ht="14.25">
      <c r="A438" s="93"/>
      <c r="B438" s="60"/>
      <c r="C438" s="60"/>
      <c r="D438" s="60"/>
      <c r="E438" s="60"/>
      <c r="F438" s="60"/>
      <c r="G438" s="60"/>
      <c r="H438" s="60"/>
    </row>
    <row r="439" spans="1:8" ht="30" customHeight="1">
      <c r="A439" s="86" t="s">
        <v>179</v>
      </c>
      <c r="B439" s="66"/>
      <c r="C439" s="66"/>
      <c r="D439" s="70"/>
      <c r="E439" s="66"/>
      <c r="F439" s="66"/>
      <c r="G439" s="66"/>
      <c r="H439" s="66"/>
    </row>
    <row r="440" spans="1:8" ht="63" customHeight="1">
      <c r="A440" s="176" t="s">
        <v>262</v>
      </c>
      <c r="B440" s="176"/>
      <c r="C440" s="176"/>
      <c r="D440" s="176"/>
      <c r="E440" s="176"/>
      <c r="F440" s="176"/>
      <c r="G440" s="176"/>
      <c r="H440" s="176"/>
    </row>
    <row r="441" spans="1:8" ht="14.25">
      <c r="A441" s="60"/>
      <c r="B441" s="60"/>
      <c r="C441" s="60"/>
      <c r="D441" s="60"/>
      <c r="E441" s="60"/>
      <c r="F441" s="60"/>
      <c r="G441" s="60"/>
      <c r="H441" s="60"/>
    </row>
    <row r="442" spans="1:4" ht="18" customHeight="1">
      <c r="A442" s="24" t="s">
        <v>180</v>
      </c>
      <c r="D442" s="23"/>
    </row>
    <row r="443" spans="1:8" ht="15">
      <c r="A443" s="24"/>
      <c r="B443" s="94"/>
      <c r="C443" s="94"/>
      <c r="D443" s="154">
        <v>44926</v>
      </c>
      <c r="E443" s="25"/>
      <c r="F443" s="155">
        <v>44561</v>
      </c>
      <c r="H443" s="94"/>
    </row>
    <row r="444" spans="1:8" ht="14.25">
      <c r="A444" s="93" t="s">
        <v>181</v>
      </c>
      <c r="B444" s="23" t="s">
        <v>108</v>
      </c>
      <c r="C444" s="23"/>
      <c r="D444" s="67">
        <v>10557.35</v>
      </c>
      <c r="E444" s="60"/>
      <c r="F444" s="26">
        <v>3918.25</v>
      </c>
      <c r="G444" s="60"/>
      <c r="H444" s="26"/>
    </row>
    <row r="445" spans="1:8" ht="16.5" customHeight="1">
      <c r="A445" s="93" t="s">
        <v>182</v>
      </c>
      <c r="B445" s="23" t="s">
        <v>108</v>
      </c>
      <c r="C445" s="23"/>
      <c r="D445" s="67">
        <v>29900</v>
      </c>
      <c r="E445" s="60"/>
      <c r="F445" s="26">
        <v>45702</v>
      </c>
      <c r="G445" s="60"/>
      <c r="H445" s="26"/>
    </row>
    <row r="446" spans="1:8" ht="14.25">
      <c r="A446" s="95" t="s">
        <v>185</v>
      </c>
      <c r="B446" s="23" t="s">
        <v>108</v>
      </c>
      <c r="C446" s="23"/>
      <c r="D446" s="67">
        <v>830250</v>
      </c>
      <c r="E446" s="60"/>
      <c r="F446" s="26">
        <v>929968.8</v>
      </c>
      <c r="G446" s="60"/>
      <c r="H446" s="26"/>
    </row>
    <row r="447" spans="1:8" ht="14.25">
      <c r="A447" s="95"/>
      <c r="B447" s="96"/>
      <c r="C447" s="96"/>
      <c r="D447" s="107"/>
      <c r="E447" s="60"/>
      <c r="F447" s="96"/>
      <c r="G447" s="60"/>
      <c r="H447" s="60"/>
    </row>
    <row r="448" spans="1:8" ht="14.25">
      <c r="A448" s="95"/>
      <c r="B448" s="96"/>
      <c r="C448" s="96"/>
      <c r="D448" s="107"/>
      <c r="E448" s="60"/>
      <c r="F448" s="96"/>
      <c r="G448" s="60"/>
      <c r="H448" s="60"/>
    </row>
    <row r="449" spans="1:8" ht="14.25">
      <c r="A449" s="95"/>
      <c r="B449" s="96"/>
      <c r="C449" s="96"/>
      <c r="D449" s="107"/>
      <c r="E449" s="60"/>
      <c r="F449" s="96"/>
      <c r="G449" s="60"/>
      <c r="H449" s="60"/>
    </row>
    <row r="450" spans="1:8" ht="18" customHeight="1">
      <c r="A450" s="95"/>
      <c r="B450" s="96"/>
      <c r="C450" s="96"/>
      <c r="D450" s="107"/>
      <c r="E450" s="60"/>
      <c r="F450" s="96"/>
      <c r="G450" s="60"/>
      <c r="H450" s="60"/>
    </row>
    <row r="451" spans="1:8" ht="14.25" customHeight="1">
      <c r="A451" s="86" t="s">
        <v>193</v>
      </c>
      <c r="B451" s="66"/>
      <c r="C451" s="66"/>
      <c r="D451" s="70"/>
      <c r="E451" s="66"/>
      <c r="F451" s="70"/>
      <c r="G451" s="66"/>
      <c r="H451" s="66"/>
    </row>
    <row r="452" spans="1:8" ht="14.25" customHeight="1">
      <c r="A452" s="95"/>
      <c r="B452" s="24"/>
      <c r="C452" s="24"/>
      <c r="D452" s="86">
        <v>2022</v>
      </c>
      <c r="E452" s="60"/>
      <c r="F452" s="24">
        <v>2021</v>
      </c>
      <c r="G452" s="60"/>
      <c r="H452" s="24"/>
    </row>
    <row r="453" spans="1:8" ht="14.25" customHeight="1">
      <c r="A453" s="95"/>
      <c r="B453" s="24"/>
      <c r="C453" s="24"/>
      <c r="D453" s="86"/>
      <c r="E453" s="60"/>
      <c r="F453" s="24"/>
      <c r="G453" s="60"/>
      <c r="H453" s="60"/>
    </row>
    <row r="454" spans="1:8" ht="14.25" customHeight="1">
      <c r="A454" s="95" t="s">
        <v>194</v>
      </c>
      <c r="B454" s="23" t="s">
        <v>108</v>
      </c>
      <c r="C454" s="23"/>
      <c r="D454" s="67">
        <v>9005298.59</v>
      </c>
      <c r="E454" s="60"/>
      <c r="F454" s="67">
        <v>7606016.98</v>
      </c>
      <c r="G454" s="106"/>
      <c r="H454" s="67"/>
    </row>
    <row r="455" spans="1:8" ht="14.25" customHeight="1">
      <c r="A455" s="95" t="s">
        <v>195</v>
      </c>
      <c r="B455" s="23" t="s">
        <v>108</v>
      </c>
      <c r="C455" s="23"/>
      <c r="D455" s="67">
        <v>1648406.57</v>
      </c>
      <c r="E455" s="60"/>
      <c r="F455" s="67">
        <v>1485294.9</v>
      </c>
      <c r="G455" s="106"/>
      <c r="H455" s="67"/>
    </row>
    <row r="456" spans="1:8" ht="16.5" customHeight="1">
      <c r="A456" s="95" t="s">
        <v>196</v>
      </c>
      <c r="B456" s="23" t="s">
        <v>108</v>
      </c>
      <c r="C456" s="23"/>
      <c r="D456" s="84">
        <v>1523483.38</v>
      </c>
      <c r="E456" s="60"/>
      <c r="F456" s="84">
        <v>1746895.08</v>
      </c>
      <c r="G456" s="106"/>
      <c r="H456" s="84"/>
    </row>
    <row r="457" spans="1:8" ht="14.25" customHeight="1">
      <c r="A457" s="95" t="s">
        <v>197</v>
      </c>
      <c r="B457" s="23" t="s">
        <v>108</v>
      </c>
      <c r="C457" s="23"/>
      <c r="D457" s="84">
        <v>420986.93</v>
      </c>
      <c r="E457" s="60"/>
      <c r="F457" s="84">
        <v>367571.29</v>
      </c>
      <c r="G457" s="106"/>
      <c r="H457" s="84"/>
    </row>
    <row r="458" spans="1:8" ht="14.25" customHeight="1">
      <c r="A458" s="95"/>
      <c r="B458" s="96"/>
      <c r="C458" s="96"/>
      <c r="D458" s="107"/>
      <c r="E458" s="60"/>
      <c r="F458" s="107"/>
      <c r="G458" s="106"/>
      <c r="H458" s="107"/>
    </row>
    <row r="459" spans="1:8" ht="21" customHeight="1">
      <c r="A459" s="85" t="s">
        <v>199</v>
      </c>
      <c r="B459" s="23" t="s">
        <v>108</v>
      </c>
      <c r="C459" s="23"/>
      <c r="D459" s="115">
        <f>SUM(D454:D458)</f>
        <v>12598175.469999999</v>
      </c>
      <c r="E459" s="60"/>
      <c r="F459" s="115">
        <f>SUM(F454:F458)</f>
        <v>11205778.25</v>
      </c>
      <c r="G459" s="106"/>
      <c r="H459" s="115"/>
    </row>
    <row r="460" spans="1:8" ht="23.25" customHeight="1">
      <c r="A460" s="95"/>
      <c r="B460" s="96"/>
      <c r="C460" s="60"/>
      <c r="D460" s="96"/>
      <c r="E460" s="60"/>
      <c r="F460" s="60"/>
      <c r="G460" s="60"/>
      <c r="H460" s="60"/>
    </row>
    <row r="461" spans="1:8" ht="49.5" customHeight="1">
      <c r="A461" s="176" t="s">
        <v>198</v>
      </c>
      <c r="B461" s="176"/>
      <c r="C461" s="176"/>
      <c r="D461" s="176"/>
      <c r="E461" s="176"/>
      <c r="F461" s="176"/>
      <c r="G461" s="176"/>
      <c r="H461" s="176"/>
    </row>
    <row r="462" spans="1:8" ht="21.75" customHeight="1">
      <c r="A462" s="60"/>
      <c r="B462" s="60"/>
      <c r="C462" s="60"/>
      <c r="D462" s="60"/>
      <c r="E462" s="60"/>
      <c r="F462" s="60"/>
      <c r="G462" s="60"/>
      <c r="H462" s="60"/>
    </row>
    <row r="463" spans="1:4" ht="24" customHeight="1">
      <c r="A463" s="63" t="s">
        <v>281</v>
      </c>
      <c r="D463" s="23"/>
    </row>
    <row r="464" ht="13.5" customHeight="1">
      <c r="D464" s="23"/>
    </row>
    <row r="465" ht="13.5" customHeight="1">
      <c r="D465" s="23"/>
    </row>
    <row r="466" spans="1:6" ht="13.5" customHeight="1">
      <c r="A466" s="158" t="s">
        <v>280</v>
      </c>
      <c r="B466" s="156"/>
      <c r="C466" s="156"/>
      <c r="D466" s="157"/>
      <c r="E466" s="156"/>
      <c r="F466" s="156"/>
    </row>
    <row r="467" spans="1:6" ht="13.5" customHeight="1">
      <c r="A467" s="156"/>
      <c r="B467" s="156"/>
      <c r="C467" s="156"/>
      <c r="D467" s="157"/>
      <c r="E467" s="156"/>
      <c r="F467" s="156"/>
    </row>
    <row r="468" spans="1:6" ht="13.5" customHeight="1">
      <c r="A468" s="156"/>
      <c r="B468" s="156"/>
      <c r="C468" s="156"/>
      <c r="D468" s="157"/>
      <c r="E468" s="156"/>
      <c r="F468" s="156"/>
    </row>
    <row r="469" spans="1:6" ht="13.5" customHeight="1">
      <c r="A469" s="156"/>
      <c r="B469" s="156"/>
      <c r="C469" s="156"/>
      <c r="D469" s="157"/>
      <c r="E469" s="156"/>
      <c r="F469" s="156"/>
    </row>
    <row r="470" spans="1:6" ht="21.75" customHeight="1">
      <c r="A470" s="156"/>
      <c r="B470" s="156"/>
      <c r="C470" s="156"/>
      <c r="D470" s="157"/>
      <c r="E470" s="156"/>
      <c r="F470" s="156"/>
    </row>
    <row r="471" spans="1:6" ht="13.5" customHeight="1">
      <c r="A471" s="156"/>
      <c r="B471" s="156"/>
      <c r="C471" s="156"/>
      <c r="D471" s="157"/>
      <c r="E471" s="156"/>
      <c r="F471" s="156"/>
    </row>
    <row r="472" spans="1:6" ht="13.5" customHeight="1">
      <c r="A472" s="156"/>
      <c r="B472" s="156"/>
      <c r="C472" s="156"/>
      <c r="D472" s="157"/>
      <c r="E472" s="156"/>
      <c r="F472" s="156"/>
    </row>
    <row r="473" spans="1:6" ht="13.5" customHeight="1">
      <c r="A473" s="156"/>
      <c r="B473" s="156"/>
      <c r="C473" s="156"/>
      <c r="D473" s="157"/>
      <c r="E473" s="156"/>
      <c r="F473" s="156"/>
    </row>
    <row r="474" spans="1:6" ht="13.5" customHeight="1">
      <c r="A474" s="156"/>
      <c r="B474" s="156"/>
      <c r="C474" s="156"/>
      <c r="D474" s="157"/>
      <c r="E474" s="156"/>
      <c r="F474" s="156"/>
    </row>
    <row r="475" spans="1:6" ht="13.5" customHeight="1">
      <c r="A475" s="156"/>
      <c r="B475" s="156"/>
      <c r="C475" s="156"/>
      <c r="D475" s="157"/>
      <c r="E475" s="156"/>
      <c r="F475" s="156"/>
    </row>
    <row r="476" spans="1:6" ht="13.5" customHeight="1">
      <c r="A476" s="156"/>
      <c r="B476" s="156"/>
      <c r="C476" s="156"/>
      <c r="D476" s="157"/>
      <c r="E476" s="156"/>
      <c r="F476" s="156"/>
    </row>
    <row r="477" spans="1:6" ht="13.5" customHeight="1">
      <c r="A477" s="156"/>
      <c r="B477" s="156"/>
      <c r="C477" s="156"/>
      <c r="D477" s="157"/>
      <c r="E477" s="156"/>
      <c r="F477" s="156"/>
    </row>
    <row r="478" spans="1:6" ht="13.5" customHeight="1">
      <c r="A478" s="156"/>
      <c r="B478" s="156"/>
      <c r="C478" s="156"/>
      <c r="D478" s="157"/>
      <c r="E478" s="156"/>
      <c r="F478" s="156"/>
    </row>
    <row r="479" spans="1:6" ht="13.5" customHeight="1">
      <c r="A479" s="156"/>
      <c r="B479" s="156"/>
      <c r="C479" s="156"/>
      <c r="D479" s="157"/>
      <c r="E479" s="156"/>
      <c r="F479" s="156"/>
    </row>
    <row r="480" spans="1:6" ht="33" customHeight="1">
      <c r="A480" s="156"/>
      <c r="B480" s="156"/>
      <c r="C480" s="156"/>
      <c r="D480" s="157"/>
      <c r="E480" s="156"/>
      <c r="F480" s="156"/>
    </row>
    <row r="481" spans="1:6" ht="13.5" customHeight="1">
      <c r="A481" s="156"/>
      <c r="B481" s="156"/>
      <c r="C481" s="156"/>
      <c r="D481" s="157"/>
      <c r="E481" s="156"/>
      <c r="F481" s="156"/>
    </row>
    <row r="482" spans="1:6" ht="13.5" customHeight="1">
      <c r="A482" s="156"/>
      <c r="B482" s="156"/>
      <c r="C482" s="156"/>
      <c r="D482" s="157"/>
      <c r="E482" s="156"/>
      <c r="F482" s="156"/>
    </row>
    <row r="483" spans="1:6" ht="13.5" customHeight="1">
      <c r="A483" s="156"/>
      <c r="B483" s="156"/>
      <c r="C483" s="156"/>
      <c r="D483" s="157"/>
      <c r="E483" s="156"/>
      <c r="F483" s="156"/>
    </row>
    <row r="484" spans="1:6" ht="15.75" customHeight="1">
      <c r="A484" s="156"/>
      <c r="B484" s="156"/>
      <c r="C484" s="156"/>
      <c r="D484" s="157"/>
      <c r="E484" s="156"/>
      <c r="F484" s="156"/>
    </row>
    <row r="485" spans="1:6" ht="14.25" customHeight="1">
      <c r="A485" s="156"/>
      <c r="B485" s="156"/>
      <c r="C485" s="156"/>
      <c r="D485" s="157"/>
      <c r="E485" s="156"/>
      <c r="F485" s="156"/>
    </row>
    <row r="486" spans="1:6" ht="14.25">
      <c r="A486" s="156"/>
      <c r="B486" s="156"/>
      <c r="C486" s="156"/>
      <c r="D486" s="157"/>
      <c r="E486" s="156"/>
      <c r="F486" s="156"/>
    </row>
    <row r="487" spans="1:6" ht="14.25">
      <c r="A487" s="156"/>
      <c r="B487" s="156"/>
      <c r="C487" s="156"/>
      <c r="D487" s="157"/>
      <c r="E487" s="156"/>
      <c r="F487" s="156"/>
    </row>
    <row r="488" spans="1:6" ht="14.25">
      <c r="A488" s="156"/>
      <c r="B488" s="156"/>
      <c r="C488" s="156"/>
      <c r="D488" s="157"/>
      <c r="E488" s="156"/>
      <c r="F488" s="156"/>
    </row>
    <row r="489" spans="1:6" ht="14.25">
      <c r="A489" s="156"/>
      <c r="B489" s="156"/>
      <c r="C489" s="156"/>
      <c r="D489" s="157"/>
      <c r="E489" s="156"/>
      <c r="F489" s="156"/>
    </row>
    <row r="490" spans="1:6" ht="14.25">
      <c r="A490" s="156"/>
      <c r="B490" s="156"/>
      <c r="C490" s="156"/>
      <c r="D490" s="157"/>
      <c r="E490" s="156"/>
      <c r="F490" s="156"/>
    </row>
    <row r="491" spans="1:6" ht="14.25">
      <c r="A491" s="156"/>
      <c r="B491" s="156"/>
      <c r="C491" s="156"/>
      <c r="D491" s="157"/>
      <c r="E491" s="156"/>
      <c r="F491" s="156"/>
    </row>
    <row r="492" spans="1:6" ht="14.25">
      <c r="A492" s="156"/>
      <c r="B492" s="156"/>
      <c r="C492" s="156"/>
      <c r="D492" s="157"/>
      <c r="E492" s="156"/>
      <c r="F492" s="156"/>
    </row>
    <row r="493" spans="1:6" ht="14.25">
      <c r="A493" s="156"/>
      <c r="B493" s="156"/>
      <c r="C493" s="156"/>
      <c r="D493" s="157"/>
      <c r="E493" s="156"/>
      <c r="F493" s="156"/>
    </row>
    <row r="494" spans="1:6" ht="14.25">
      <c r="A494" s="156"/>
      <c r="B494" s="156"/>
      <c r="C494" s="156"/>
      <c r="D494" s="157"/>
      <c r="E494" s="156"/>
      <c r="F494" s="156"/>
    </row>
    <row r="495" spans="1:6" ht="14.25">
      <c r="A495" s="156"/>
      <c r="B495" s="156"/>
      <c r="C495" s="156"/>
      <c r="D495" s="157"/>
      <c r="E495" s="156"/>
      <c r="F495" s="156"/>
    </row>
    <row r="496" spans="1:6" ht="14.25">
      <c r="A496" s="156"/>
      <c r="B496" s="156"/>
      <c r="C496" s="156"/>
      <c r="D496" s="157"/>
      <c r="E496" s="156"/>
      <c r="F496" s="156"/>
    </row>
    <row r="497" spans="1:6" ht="14.25">
      <c r="A497" s="156"/>
      <c r="B497" s="156"/>
      <c r="C497" s="156"/>
      <c r="D497" s="157"/>
      <c r="E497" s="156"/>
      <c r="F497" s="156"/>
    </row>
    <row r="498" spans="1:6" ht="14.25">
      <c r="A498" s="156"/>
      <c r="B498" s="156"/>
      <c r="C498" s="156"/>
      <c r="D498" s="157"/>
      <c r="E498" s="156"/>
      <c r="F498" s="156"/>
    </row>
    <row r="499" spans="1:6" ht="14.25">
      <c r="A499" s="156"/>
      <c r="B499" s="156"/>
      <c r="C499" s="156"/>
      <c r="D499" s="157"/>
      <c r="E499" s="156"/>
      <c r="F499" s="156"/>
    </row>
    <row r="500" spans="1:6" ht="14.25">
      <c r="A500" s="156"/>
      <c r="B500" s="156"/>
      <c r="C500" s="156"/>
      <c r="D500" s="157"/>
      <c r="E500" s="156"/>
      <c r="F500" s="156"/>
    </row>
    <row r="501" spans="1:6" ht="14.25">
      <c r="A501" s="156"/>
      <c r="B501" s="156"/>
      <c r="C501" s="156"/>
      <c r="D501" s="157"/>
      <c r="E501" s="156"/>
      <c r="F501" s="156"/>
    </row>
    <row r="502" spans="1:6" ht="14.25">
      <c r="A502" s="156"/>
      <c r="B502" s="156"/>
      <c r="C502" s="156"/>
      <c r="D502" s="157"/>
      <c r="E502" s="156"/>
      <c r="F502" s="156"/>
    </row>
    <row r="503" spans="1:6" ht="14.25">
      <c r="A503" s="156"/>
      <c r="B503" s="156"/>
      <c r="C503" s="156"/>
      <c r="D503" s="157"/>
      <c r="E503" s="156"/>
      <c r="F503" s="156"/>
    </row>
    <row r="504" spans="1:6" ht="14.25">
      <c r="A504" s="156"/>
      <c r="B504" s="156"/>
      <c r="C504" s="156"/>
      <c r="D504" s="157"/>
      <c r="E504" s="156"/>
      <c r="F504" s="156"/>
    </row>
    <row r="505" spans="1:6" ht="14.25">
      <c r="A505" s="156"/>
      <c r="B505" s="156"/>
      <c r="C505" s="156"/>
      <c r="D505" s="157"/>
      <c r="E505" s="156"/>
      <c r="F505" s="156"/>
    </row>
    <row r="506" spans="1:6" ht="14.25">
      <c r="A506" s="156"/>
      <c r="B506" s="156"/>
      <c r="C506" s="156"/>
      <c r="D506" s="157"/>
      <c r="E506" s="156"/>
      <c r="F506" s="156"/>
    </row>
    <row r="507" spans="1:6" ht="14.25">
      <c r="A507" s="156"/>
      <c r="B507" s="156"/>
      <c r="C507" s="156"/>
      <c r="D507" s="157"/>
      <c r="E507" s="156"/>
      <c r="F507" s="156"/>
    </row>
    <row r="508" spans="1:6" ht="14.25">
      <c r="A508" s="156"/>
      <c r="B508" s="156"/>
      <c r="C508" s="156"/>
      <c r="D508" s="157"/>
      <c r="E508" s="156"/>
      <c r="F508" s="156"/>
    </row>
    <row r="509" spans="1:6" ht="14.25">
      <c r="A509" s="156"/>
      <c r="B509" s="156"/>
      <c r="C509" s="156"/>
      <c r="D509" s="157"/>
      <c r="E509" s="156"/>
      <c r="F509" s="156"/>
    </row>
    <row r="510" spans="1:6" ht="14.25">
      <c r="A510" s="156"/>
      <c r="B510" s="156"/>
      <c r="C510" s="156"/>
      <c r="D510" s="157"/>
      <c r="E510" s="156"/>
      <c r="F510" s="156"/>
    </row>
    <row r="511" spans="1:6" ht="14.25">
      <c r="A511" s="156"/>
      <c r="B511" s="156"/>
      <c r="C511" s="156"/>
      <c r="D511" s="157"/>
      <c r="E511" s="156"/>
      <c r="F511" s="156"/>
    </row>
    <row r="512" spans="1:6" ht="14.25">
      <c r="A512" s="156"/>
      <c r="B512" s="156"/>
      <c r="C512" s="156"/>
      <c r="D512" s="157"/>
      <c r="E512" s="156"/>
      <c r="F512" s="156"/>
    </row>
    <row r="513" ht="14.25">
      <c r="D513" s="23"/>
    </row>
    <row r="514" ht="14.25">
      <c r="D514" s="23"/>
    </row>
    <row r="515" ht="14.25">
      <c r="D515" s="23"/>
    </row>
    <row r="516" ht="14.25">
      <c r="D516" s="23"/>
    </row>
    <row r="517" ht="14.25">
      <c r="D517" s="23"/>
    </row>
    <row r="518" ht="14.25">
      <c r="D518" s="23"/>
    </row>
    <row r="519" ht="14.25">
      <c r="D519" s="23"/>
    </row>
    <row r="520" ht="14.25">
      <c r="D520" s="23"/>
    </row>
    <row r="521" ht="14.25">
      <c r="D521" s="23"/>
    </row>
    <row r="522" ht="14.25">
      <c r="D522" s="23"/>
    </row>
    <row r="523" ht="14.25">
      <c r="D523" s="23"/>
    </row>
    <row r="524" ht="14.25">
      <c r="D524" s="23"/>
    </row>
    <row r="525" ht="14.25">
      <c r="D525" s="23"/>
    </row>
    <row r="526" ht="14.25">
      <c r="D526" s="23"/>
    </row>
    <row r="527" ht="14.25">
      <c r="D527" s="23"/>
    </row>
    <row r="528" ht="14.25">
      <c r="D528" s="23"/>
    </row>
    <row r="529" ht="14.25">
      <c r="D529" s="23"/>
    </row>
    <row r="530" ht="14.25">
      <c r="D530" s="23"/>
    </row>
    <row r="531" ht="14.25">
      <c r="D531" s="23"/>
    </row>
    <row r="532" ht="14.25">
      <c r="D532" s="23"/>
    </row>
    <row r="533" ht="14.25">
      <c r="D533" s="23"/>
    </row>
    <row r="534" ht="14.25">
      <c r="D534" s="23"/>
    </row>
    <row r="535" ht="14.25">
      <c r="D535" s="23"/>
    </row>
    <row r="536" ht="14.25">
      <c r="D536" s="23"/>
    </row>
    <row r="537" ht="14.25">
      <c r="D537" s="23"/>
    </row>
    <row r="538" ht="14.25">
      <c r="D538" s="23"/>
    </row>
    <row r="539" ht="14.25">
      <c r="D539" s="23"/>
    </row>
    <row r="540" ht="14.25">
      <c r="D540" s="23"/>
    </row>
    <row r="541" ht="14.25">
      <c r="D541" s="23"/>
    </row>
    <row r="542" ht="14.25">
      <c r="D542" s="23"/>
    </row>
    <row r="543" ht="14.25">
      <c r="D543" s="23"/>
    </row>
    <row r="544" ht="14.25">
      <c r="D544" s="23"/>
    </row>
    <row r="545" ht="14.25">
      <c r="D545" s="23"/>
    </row>
    <row r="546" ht="14.25">
      <c r="D546" s="23"/>
    </row>
    <row r="547" ht="14.25">
      <c r="D547" s="23"/>
    </row>
    <row r="548" ht="14.25">
      <c r="D548" s="23"/>
    </row>
    <row r="549" ht="14.25">
      <c r="D549" s="23"/>
    </row>
    <row r="550" ht="14.25">
      <c r="D550" s="23"/>
    </row>
    <row r="551" ht="14.25">
      <c r="D551" s="23"/>
    </row>
    <row r="552" ht="14.25">
      <c r="D552" s="23"/>
    </row>
    <row r="553" ht="14.25">
      <c r="D553" s="23"/>
    </row>
    <row r="554" ht="14.25">
      <c r="D554" s="23"/>
    </row>
    <row r="555" ht="14.25">
      <c r="D555" s="23"/>
    </row>
    <row r="556" ht="14.25">
      <c r="D556" s="23"/>
    </row>
    <row r="557" ht="14.25">
      <c r="D557" s="23"/>
    </row>
    <row r="558" ht="14.25">
      <c r="D558" s="23"/>
    </row>
    <row r="559" ht="14.25">
      <c r="D559" s="23"/>
    </row>
    <row r="560" ht="14.25">
      <c r="D560" s="23"/>
    </row>
    <row r="561" ht="14.25">
      <c r="D561" s="23"/>
    </row>
    <row r="562" ht="14.25">
      <c r="D562" s="23"/>
    </row>
    <row r="563" ht="14.25">
      <c r="D563" s="23"/>
    </row>
    <row r="564" ht="14.25">
      <c r="D564" s="23"/>
    </row>
    <row r="565" ht="14.25">
      <c r="D565" s="23"/>
    </row>
    <row r="566" ht="14.25">
      <c r="D566" s="23"/>
    </row>
    <row r="567" ht="14.25">
      <c r="D567" s="23"/>
    </row>
    <row r="568" ht="14.25">
      <c r="D568" s="23"/>
    </row>
    <row r="569" ht="14.25">
      <c r="D569" s="23"/>
    </row>
    <row r="570" ht="14.25">
      <c r="D570" s="23"/>
    </row>
    <row r="571" ht="14.25">
      <c r="D571" s="23"/>
    </row>
    <row r="572" ht="14.25">
      <c r="D572" s="23"/>
    </row>
    <row r="573" ht="14.25">
      <c r="D573" s="23"/>
    </row>
    <row r="574" ht="14.25">
      <c r="D574" s="23"/>
    </row>
    <row r="575" ht="14.25">
      <c r="D575" s="23"/>
    </row>
    <row r="576" ht="14.25">
      <c r="D576" s="23"/>
    </row>
    <row r="577" ht="14.25">
      <c r="D577" s="23"/>
    </row>
    <row r="578" ht="14.25">
      <c r="D578" s="23"/>
    </row>
    <row r="579" ht="14.25">
      <c r="D579" s="23"/>
    </row>
    <row r="580" ht="14.25">
      <c r="D580" s="23"/>
    </row>
    <row r="581" ht="14.25">
      <c r="D581" s="23"/>
    </row>
    <row r="582" ht="14.25">
      <c r="D582" s="23"/>
    </row>
    <row r="583" ht="14.25">
      <c r="D583" s="23"/>
    </row>
    <row r="584" ht="14.25">
      <c r="D584" s="23"/>
    </row>
    <row r="585" ht="14.25">
      <c r="D585" s="23"/>
    </row>
    <row r="586" ht="14.25">
      <c r="D586" s="23"/>
    </row>
  </sheetData>
  <sheetProtection/>
  <mergeCells count="55">
    <mergeCell ref="A423:H423"/>
    <mergeCell ref="A420:H420"/>
    <mergeCell ref="A417:H417"/>
    <mergeCell ref="A309:H309"/>
    <mergeCell ref="A319:H319"/>
    <mergeCell ref="A370:H370"/>
    <mergeCell ref="A398:H398"/>
    <mergeCell ref="A367:H367"/>
    <mergeCell ref="A235:F235"/>
    <mergeCell ref="G235:H235"/>
    <mergeCell ref="A238:F238"/>
    <mergeCell ref="A194:F194"/>
    <mergeCell ref="A198:F198"/>
    <mergeCell ref="A202:F202"/>
    <mergeCell ref="A205:F205"/>
    <mergeCell ref="A208:F208"/>
    <mergeCell ref="G238:H238"/>
    <mergeCell ref="A237:F237"/>
    <mergeCell ref="A133:F133"/>
    <mergeCell ref="A134:F134"/>
    <mergeCell ref="A299:H299"/>
    <mergeCell ref="A308:H308"/>
    <mergeCell ref="A258:H258"/>
    <mergeCell ref="A190:F190"/>
    <mergeCell ref="G226:H226"/>
    <mergeCell ref="A229:F229"/>
    <mergeCell ref="G229:H229"/>
    <mergeCell ref="A232:F232"/>
    <mergeCell ref="A461:H461"/>
    <mergeCell ref="A335:H335"/>
    <mergeCell ref="A373:H373"/>
    <mergeCell ref="A428:H428"/>
    <mergeCell ref="A351:H351"/>
    <mergeCell ref="A4:F4"/>
    <mergeCell ref="A135:F135"/>
    <mergeCell ref="A434:H434"/>
    <mergeCell ref="A332:H332"/>
    <mergeCell ref="A339:H339"/>
    <mergeCell ref="A189:F189"/>
    <mergeCell ref="A193:F193"/>
    <mergeCell ref="A223:F223"/>
    <mergeCell ref="G223:H223"/>
    <mergeCell ref="A437:H437"/>
    <mergeCell ref="A440:H440"/>
    <mergeCell ref="A348:H348"/>
    <mergeCell ref="A226:F226"/>
    <mergeCell ref="A211:F211"/>
    <mergeCell ref="A214:F214"/>
    <mergeCell ref="G232:H232"/>
    <mergeCell ref="A197:F197"/>
    <mergeCell ref="A201:F201"/>
    <mergeCell ref="A204:F204"/>
    <mergeCell ref="A207:F207"/>
    <mergeCell ref="A217:F217"/>
    <mergeCell ref="A220:F220"/>
  </mergeCells>
  <printOptions/>
  <pageMargins left="0.3937007874015748" right="0.3937007874015748" top="0.5905511811023623" bottom="0.3937007874015748" header="0.31496062992125984" footer="0.31496062992125984"/>
  <pageSetup fitToHeight="0" fitToWidth="1" horizontalDpi="600" verticalDpi="600" orientation="portrait" paperSize="9" scale="52" r:id="rId4"/>
  <rowBreaks count="10" manualBreakCount="10">
    <brk id="46" max="255" man="1"/>
    <brk id="97" max="255" man="1"/>
    <brk id="135" max="255" man="1"/>
    <brk id="179" max="255" man="1"/>
    <brk id="214" max="255" man="1"/>
    <brk id="238" max="255" man="1"/>
    <brk id="299" max="255" man="1"/>
    <brk id="333" max="255" man="1"/>
    <brk id="373" max="255" man="1"/>
    <brk id="42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Alain Décoppet</dc:creator>
  <cp:keywords/>
  <dc:description/>
  <cp:lastModifiedBy>Corinne Vonaesch</cp:lastModifiedBy>
  <cp:lastPrinted>2023-03-30T13:04:57Z</cp:lastPrinted>
  <dcterms:created xsi:type="dcterms:W3CDTF">2011-02-24T14:38:28Z</dcterms:created>
  <dcterms:modified xsi:type="dcterms:W3CDTF">2023-04-24T11:33:42Z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0x0101006E2791F4DD35EF4E9EDE2DC55663C59C</vt:lpwstr>
  </property>
  <property fmtid="{D5CDD505-2E9C-101B-9397-08002B2CF9AE}" pid="3" name="display_urn:schemas-microsoft-com:office:office#SharedWithUsers">
    <vt:lpwstr>Irene Hodel</vt:lpwstr>
  </property>
  <property fmtid="{D5CDD505-2E9C-101B-9397-08002B2CF9AE}" pid="4" name="SharedWithUsers">
    <vt:lpwstr>12;#Irene Hodel</vt:lpwstr>
  </property>
</Properties>
</file>